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9615" windowHeight="8250"/>
  </bookViews>
  <sheets>
    <sheet name="CB5 Mango juice" sheetId="2" r:id="rId1"/>
  </sheets>
  <definedNames>
    <definedName name="ROE">#REF!</definedName>
  </definedNames>
  <calcPr calcId="124519"/>
</workbook>
</file>

<file path=xl/calcChain.xml><?xml version="1.0" encoding="utf-8"?>
<calcChain xmlns="http://schemas.openxmlformats.org/spreadsheetml/2006/main">
  <c r="V18" i="2"/>
  <c r="U32" l="1"/>
  <c r="W32"/>
  <c r="U33"/>
  <c r="V33"/>
  <c r="W33"/>
  <c r="U34"/>
  <c r="V34"/>
  <c r="W34"/>
  <c r="U35"/>
  <c r="V35"/>
  <c r="W35"/>
  <c r="U36"/>
  <c r="V36"/>
  <c r="W36"/>
  <c r="W37"/>
  <c r="V31"/>
  <c r="V30"/>
  <c r="V26"/>
  <c r="V25"/>
  <c r="V19"/>
  <c r="V37" s="1"/>
  <c r="U31"/>
  <c r="U30"/>
  <c r="U26"/>
  <c r="U25"/>
  <c r="U19"/>
  <c r="U18"/>
  <c r="L82"/>
  <c r="F83"/>
  <c r="F77"/>
  <c r="H77"/>
  <c r="J77" s="1"/>
  <c r="C10" l="1"/>
  <c r="D29" l="1"/>
  <c r="N84" l="1"/>
  <c r="N82"/>
  <c r="L84" l="1"/>
  <c r="F29" l="1"/>
  <c r="D73" l="1"/>
  <c r="F73"/>
  <c r="H73"/>
  <c r="L73"/>
  <c r="P73"/>
  <c r="N73"/>
  <c r="J73"/>
  <c r="Q73" l="1"/>
  <c r="Q72" s="1"/>
  <c r="O73"/>
  <c r="O72" s="1"/>
  <c r="M73"/>
  <c r="M72" s="1"/>
  <c r="K73"/>
  <c r="K72" s="1"/>
  <c r="I73"/>
  <c r="I72" s="1"/>
  <c r="G73"/>
  <c r="G72" s="1"/>
  <c r="E73"/>
  <c r="E72" s="1"/>
  <c r="Q89"/>
  <c r="O89"/>
  <c r="M89"/>
  <c r="K89"/>
  <c r="I89"/>
  <c r="G89"/>
  <c r="E89"/>
  <c r="J84"/>
  <c r="J82"/>
  <c r="H84"/>
  <c r="H82"/>
  <c r="N83"/>
  <c r="L83"/>
  <c r="J83"/>
  <c r="H83"/>
  <c r="P85" l="1"/>
  <c r="L85"/>
  <c r="J85"/>
  <c r="F85"/>
  <c r="D85"/>
  <c r="D86" s="1"/>
  <c r="G85" l="1"/>
  <c r="F86"/>
  <c r="K85"/>
  <c r="J86"/>
  <c r="M85"/>
  <c r="Q85"/>
  <c r="P86"/>
  <c r="E85"/>
  <c r="E82"/>
  <c r="E84"/>
  <c r="Q84"/>
  <c r="Q82"/>
  <c r="M84"/>
  <c r="M82"/>
  <c r="K84"/>
  <c r="K82"/>
  <c r="G84"/>
  <c r="G82"/>
  <c r="E83"/>
  <c r="Q83"/>
  <c r="M83"/>
  <c r="K83"/>
  <c r="G83"/>
  <c r="N85"/>
  <c r="O85" l="1"/>
  <c r="O83"/>
  <c r="O82"/>
  <c r="O84"/>
  <c r="P76" l="1"/>
  <c r="N76"/>
  <c r="L76"/>
  <c r="J76"/>
  <c r="H76"/>
  <c r="F76"/>
  <c r="D76"/>
  <c r="M77"/>
  <c r="I77"/>
  <c r="G77"/>
  <c r="E77"/>
  <c r="N79"/>
  <c r="F79"/>
  <c r="F81" s="1"/>
  <c r="D79"/>
  <c r="C69"/>
  <c r="C67"/>
  <c r="F91" l="1"/>
  <c r="D81"/>
  <c r="P78"/>
  <c r="K77"/>
  <c r="O77"/>
  <c r="Q76"/>
  <c r="E76"/>
  <c r="G76"/>
  <c r="I76"/>
  <c r="K76"/>
  <c r="M76"/>
  <c r="O76"/>
  <c r="Q77"/>
  <c r="C66"/>
  <c r="C64"/>
  <c r="C58" l="1"/>
  <c r="C57"/>
  <c r="C55"/>
  <c r="L50" l="1"/>
  <c r="L77" s="1"/>
  <c r="C49"/>
  <c r="N77" l="1"/>
  <c r="L86"/>
  <c r="L78"/>
  <c r="J78" s="1"/>
  <c r="H78" s="1"/>
  <c r="F78" s="1"/>
  <c r="D78" s="1"/>
  <c r="C48"/>
  <c r="N86" l="1"/>
  <c r="N81"/>
  <c r="N91" s="1"/>
  <c r="N78"/>
  <c r="C46"/>
  <c r="C40" l="1"/>
  <c r="D91" l="1"/>
  <c r="C39"/>
  <c r="C37" l="1"/>
  <c r="C31" l="1"/>
  <c r="C30" l="1"/>
  <c r="C25" l="1"/>
  <c r="C19"/>
  <c r="C18"/>
  <c r="C16"/>
  <c r="D12"/>
  <c r="D16" l="1"/>
  <c r="D87" s="1"/>
  <c r="E12"/>
  <c r="D88" l="1"/>
  <c r="D18"/>
  <c r="F19"/>
  <c r="F21"/>
  <c r="F25"/>
  <c r="F87" s="1"/>
  <c r="F27"/>
  <c r="F30"/>
  <c r="G21"/>
  <c r="G25"/>
  <c r="G27"/>
  <c r="H85"/>
  <c r="H86" s="1"/>
  <c r="E16"/>
  <c r="E13"/>
  <c r="E14"/>
  <c r="E15"/>
  <c r="E17"/>
  <c r="E18"/>
  <c r="G22"/>
  <c r="G23"/>
  <c r="G24"/>
  <c r="G26"/>
  <c r="G28"/>
  <c r="G29"/>
  <c r="G30"/>
  <c r="H31" l="1"/>
  <c r="H33" s="1"/>
  <c r="W19"/>
  <c r="W18"/>
  <c r="H37"/>
  <c r="H87"/>
  <c r="E88"/>
  <c r="E86"/>
  <c r="E87"/>
  <c r="F88"/>
  <c r="G87"/>
  <c r="H88"/>
  <c r="I87"/>
  <c r="I85"/>
  <c r="R85" s="1"/>
  <c r="I83"/>
  <c r="R83" s="1"/>
  <c r="I82"/>
  <c r="R82" s="1"/>
  <c r="I84"/>
  <c r="R84" s="1"/>
  <c r="F90"/>
  <c r="F89"/>
  <c r="D90"/>
  <c r="D89"/>
  <c r="H39" l="1"/>
  <c r="H79"/>
  <c r="I38"/>
  <c r="D80"/>
  <c r="F80"/>
  <c r="I86"/>
  <c r="I88"/>
  <c r="P79"/>
  <c r="G86"/>
  <c r="G88"/>
  <c r="W25" l="1"/>
  <c r="J40"/>
  <c r="J42" s="1"/>
  <c r="H90"/>
  <c r="H89"/>
  <c r="I39"/>
  <c r="I36"/>
  <c r="I35"/>
  <c r="I34"/>
  <c r="I33"/>
  <c r="I37"/>
  <c r="H81"/>
  <c r="H80"/>
  <c r="P81"/>
  <c r="J46" l="1"/>
  <c r="J48" s="1"/>
  <c r="K42"/>
  <c r="P91"/>
  <c r="H91"/>
  <c r="W26" l="1"/>
  <c r="L49"/>
  <c r="L51" s="1"/>
  <c r="J90"/>
  <c r="J89"/>
  <c r="K48"/>
  <c r="K45"/>
  <c r="K44"/>
  <c r="K43"/>
  <c r="J87"/>
  <c r="K46"/>
  <c r="J88" l="1"/>
  <c r="K87"/>
  <c r="K86" l="1"/>
  <c r="K88"/>
  <c r="K47"/>
  <c r="J79"/>
  <c r="J80" s="1"/>
  <c r="J81"/>
  <c r="J91"/>
  <c r="L55" l="1"/>
  <c r="L57" s="1"/>
  <c r="W30" l="1"/>
  <c r="L90"/>
  <c r="M52"/>
  <c r="N58"/>
  <c r="N60" s="1"/>
  <c r="M53"/>
  <c r="M54"/>
  <c r="M57"/>
  <c r="L89"/>
  <c r="M51"/>
  <c r="M55"/>
  <c r="L87"/>
  <c r="N64" l="1"/>
  <c r="L88"/>
  <c r="M87"/>
  <c r="L79"/>
  <c r="M56"/>
  <c r="N87" l="1"/>
  <c r="N66"/>
  <c r="O64"/>
  <c r="L80"/>
  <c r="L81"/>
  <c r="M86"/>
  <c r="M88"/>
  <c r="V32" l="1"/>
  <c r="W31"/>
  <c r="R66"/>
  <c r="R30"/>
  <c r="R18"/>
  <c r="R39"/>
  <c r="R48"/>
  <c r="R57"/>
  <c r="P67"/>
  <c r="O61"/>
  <c r="O62"/>
  <c r="O63"/>
  <c r="O65"/>
  <c r="O66"/>
  <c r="N90"/>
  <c r="N89"/>
  <c r="O60"/>
  <c r="N88"/>
  <c r="O87"/>
  <c r="L91"/>
  <c r="R81"/>
  <c r="O86" l="1"/>
  <c r="O88"/>
  <c r="N80"/>
  <c r="P87"/>
  <c r="P69"/>
  <c r="Q67"/>
  <c r="R67"/>
  <c r="R91"/>
  <c r="Q68" l="1"/>
  <c r="R68"/>
  <c r="R69"/>
  <c r="Q69"/>
  <c r="P90"/>
  <c r="P89"/>
  <c r="P88"/>
  <c r="Q87"/>
  <c r="Q86" l="1"/>
  <c r="Q88"/>
  <c r="P80"/>
  <c r="R90"/>
  <c r="R80" l="1"/>
</calcChain>
</file>

<file path=xl/sharedStrings.xml><?xml version="1.0" encoding="utf-8"?>
<sst xmlns="http://schemas.openxmlformats.org/spreadsheetml/2006/main" count="108" uniqueCount="66">
  <si>
    <t>Component</t>
  </si>
  <si>
    <t>%</t>
  </si>
  <si>
    <t>Number of days working per month</t>
  </si>
  <si>
    <t>VC4 Sales &amp; Transport cost</t>
  </si>
  <si>
    <t>VC3 Packaging cost</t>
  </si>
  <si>
    <r>
      <t xml:space="preserve">Note 1: only </t>
    </r>
    <r>
      <rPr>
        <sz val="9"/>
        <color indexed="12"/>
        <rFont val="Arial"/>
        <family val="2"/>
      </rPr>
      <t>blue</t>
    </r>
    <r>
      <rPr>
        <sz val="9"/>
        <rFont val="Arial"/>
        <family val="2"/>
      </rPr>
      <t xml:space="preserve"> figures may be altered; all black figures and % are calculated automatically</t>
    </r>
  </si>
  <si>
    <t>Processing ratio</t>
  </si>
  <si>
    <t>Unit of measurement</t>
  </si>
  <si>
    <t>VC1 Raw material cost</t>
  </si>
  <si>
    <t>CB5 Value Chain Cost Price Calculation Sheet</t>
  </si>
  <si>
    <t xml:space="preserve">Raw material: </t>
  </si>
  <si>
    <t>Finished product:</t>
  </si>
  <si>
    <t>Place / origin</t>
  </si>
  <si>
    <t>Margin</t>
  </si>
  <si>
    <t>USD</t>
  </si>
  <si>
    <t>Note 2: use one single currency throughout the chain.</t>
  </si>
  <si>
    <t>Margin per unit</t>
  </si>
  <si>
    <t>FC2 Interest</t>
  </si>
  <si>
    <t>FC3 Overhead cost</t>
  </si>
  <si>
    <t>Number of months per year</t>
  </si>
  <si>
    <t>Yearly profit</t>
  </si>
  <si>
    <t>Actual quantity sold</t>
  </si>
  <si>
    <t>Capacity utilization</t>
  </si>
  <si>
    <t>Name exporter:</t>
  </si>
  <si>
    <t>Place</t>
  </si>
  <si>
    <t>ton</t>
  </si>
  <si>
    <t>Sales price meat</t>
  </si>
  <si>
    <t>Sales price bowls</t>
  </si>
  <si>
    <t>Sales price hide (raw, unsalted)</t>
  </si>
  <si>
    <t>Total sales (*$1000)</t>
  </si>
  <si>
    <t>Yearly contribution (*$1000)</t>
  </si>
  <si>
    <t>Sales price</t>
  </si>
  <si>
    <t>Margin %</t>
  </si>
  <si>
    <t>Number of units in the country</t>
  </si>
  <si>
    <t>Average production capacity per day</t>
  </si>
  <si>
    <t>Total daily production capacity</t>
  </si>
  <si>
    <t>Fixed cost per year (* $1000)</t>
  </si>
  <si>
    <t>Cigar Box Analysis CB1</t>
  </si>
  <si>
    <t>Fixed cost per unit</t>
  </si>
  <si>
    <t>Variable cost per unit</t>
  </si>
  <si>
    <t>Total cost price per unit</t>
  </si>
  <si>
    <t>Capacity per year (312 days)</t>
  </si>
  <si>
    <t>Margin per ton</t>
  </si>
  <si>
    <t>Price per ton</t>
  </si>
  <si>
    <t>Total</t>
  </si>
  <si>
    <t>Fruit collector</t>
  </si>
  <si>
    <t>Primary processor</t>
  </si>
  <si>
    <t>Juice filler</t>
  </si>
  <si>
    <t>Sayan</t>
  </si>
  <si>
    <t>Huacho</t>
  </si>
  <si>
    <t>Rotterdam</t>
  </si>
  <si>
    <t>Oosterhout</t>
  </si>
  <si>
    <t>Dongen</t>
  </si>
  <si>
    <t>Mango juice</t>
  </si>
  <si>
    <t>Mango</t>
  </si>
  <si>
    <t>Proexi</t>
  </si>
  <si>
    <t>Hyancho, Peru</t>
  </si>
  <si>
    <t>VC2 Irrigation cost</t>
  </si>
  <si>
    <t>VC2 Processing cost</t>
  </si>
  <si>
    <t>Processing ratio concentrate --&gt; juice</t>
  </si>
  <si>
    <t>FC1 Depreciation</t>
  </si>
  <si>
    <t>Farmer in Peru</t>
  </si>
  <si>
    <t>Retailer in Holland</t>
  </si>
  <si>
    <t>Share of</t>
  </si>
  <si>
    <t>retail price</t>
  </si>
  <si>
    <t>Importer, blender</t>
  </si>
</sst>
</file>

<file path=xl/styles.xml><?xml version="1.0" encoding="utf-8"?>
<styleSheet xmlns="http://schemas.openxmlformats.org/spreadsheetml/2006/main">
  <numFmts count="11">
    <numFmt numFmtId="164" formatCode="_-* #,##0_-;\-* #,##0_-;_-* &quot;-&quot;_-;_-@_-"/>
    <numFmt numFmtId="165" formatCode="_-* #,##0.00_-;\-* #,##0.00_-;_-* &quot;-&quot;??_-;_-@_-"/>
    <numFmt numFmtId="166" formatCode="#,##0_ ;[Red]\-#,##0\ "/>
    <numFmt numFmtId="167" formatCode="0.0"/>
    <numFmt numFmtId="168" formatCode="0.0%"/>
    <numFmt numFmtId="169" formatCode="[$$-1009]#,##0"/>
    <numFmt numFmtId="170" formatCode="[$$-1009]#,##0.00"/>
    <numFmt numFmtId="171" formatCode="#,##0.0"/>
    <numFmt numFmtId="172" formatCode="[$$-1009]#,##0.0"/>
    <numFmt numFmtId="173" formatCode="0.000"/>
    <numFmt numFmtId="174" formatCode="0.000%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11"/>
      <color theme="1"/>
      <name val="Calibri"/>
      <family val="2"/>
      <scheme val="minor"/>
    </font>
    <font>
      <i/>
      <sz val="10"/>
      <name val="Arial"/>
      <family val="2"/>
    </font>
    <font>
      <sz val="10"/>
      <color rgb="FFFF00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111">
    <xf numFmtId="0" fontId="0" fillId="0" borderId="0" xfId="0"/>
    <xf numFmtId="0" fontId="1" fillId="2" borderId="0" xfId="1" applyFill="1"/>
    <xf numFmtId="0" fontId="1" fillId="3" borderId="0" xfId="1" applyFill="1"/>
    <xf numFmtId="9" fontId="1" fillId="3" borderId="0" xfId="2" applyFill="1"/>
    <xf numFmtId="0" fontId="1" fillId="3" borderId="0" xfId="1" applyFill="1" applyAlignment="1">
      <alignment horizontal="left" indent="6"/>
    </xf>
    <xf numFmtId="1" fontId="3" fillId="3" borderId="0" xfId="1" applyNumberFormat="1" applyFont="1" applyFill="1" applyBorder="1"/>
    <xf numFmtId="1" fontId="1" fillId="3" borderId="0" xfId="1" applyNumberFormat="1" applyFill="1" applyBorder="1"/>
    <xf numFmtId="1" fontId="2" fillId="3" borderId="1" xfId="1" applyNumberFormat="1" applyFont="1" applyFill="1" applyBorder="1"/>
    <xf numFmtId="0" fontId="1" fillId="3" borderId="1" xfId="1" applyFill="1" applyBorder="1"/>
    <xf numFmtId="9" fontId="1" fillId="3" borderId="1" xfId="2" applyFont="1" applyFill="1" applyBorder="1"/>
    <xf numFmtId="9" fontId="2" fillId="3" borderId="1" xfId="2" applyFont="1" applyFill="1" applyBorder="1"/>
    <xf numFmtId="0" fontId="4" fillId="3" borderId="0" xfId="1" applyFont="1" applyFill="1" applyAlignment="1">
      <alignment horizontal="left" indent="6"/>
    </xf>
    <xf numFmtId="0" fontId="2" fillId="3" borderId="1" xfId="1" applyFont="1" applyFill="1" applyBorder="1" applyAlignment="1">
      <alignment horizontal="left" indent="6"/>
    </xf>
    <xf numFmtId="0" fontId="1" fillId="2" borderId="0" xfId="1" applyFill="1" applyAlignment="1">
      <alignment horizontal="right"/>
    </xf>
    <xf numFmtId="9" fontId="1" fillId="4" borderId="0" xfId="2" applyFont="1" applyFill="1" applyBorder="1"/>
    <xf numFmtId="0" fontId="1" fillId="5" borderId="0" xfId="1" applyFill="1"/>
    <xf numFmtId="0" fontId="1" fillId="5" borderId="0" xfId="1" applyFill="1" applyAlignment="1">
      <alignment horizontal="right"/>
    </xf>
    <xf numFmtId="1" fontId="1" fillId="5" borderId="0" xfId="1" applyNumberFormat="1" applyFill="1" applyAlignment="1">
      <alignment horizontal="right"/>
    </xf>
    <xf numFmtId="0" fontId="2" fillId="5" borderId="0" xfId="1" applyFont="1" applyFill="1"/>
    <xf numFmtId="0" fontId="2" fillId="5" borderId="0" xfId="1" applyFont="1" applyFill="1" applyAlignment="1">
      <alignment horizontal="right"/>
    </xf>
    <xf numFmtId="0" fontId="5" fillId="5" borderId="0" xfId="1" applyFont="1" applyFill="1"/>
    <xf numFmtId="0" fontId="4" fillId="5" borderId="0" xfId="1" applyFont="1" applyFill="1"/>
    <xf numFmtId="0" fontId="7" fillId="5" borderId="2" xfId="1" applyFont="1" applyFill="1" applyBorder="1"/>
    <xf numFmtId="0" fontId="1" fillId="5" borderId="4" xfId="1" applyFill="1" applyBorder="1"/>
    <xf numFmtId="0" fontId="1" fillId="5" borderId="3" xfId="1" applyFill="1" applyBorder="1"/>
    <xf numFmtId="0" fontId="7" fillId="5" borderId="2" xfId="1" applyFont="1" applyFill="1" applyBorder="1" applyAlignment="1">
      <alignment horizontal="left"/>
    </xf>
    <xf numFmtId="0" fontId="7" fillId="5" borderId="4" xfId="1" applyFont="1" applyFill="1" applyBorder="1" applyAlignment="1">
      <alignment horizontal="left"/>
    </xf>
    <xf numFmtId="0" fontId="7" fillId="5" borderId="3" xfId="1" applyFont="1" applyFill="1" applyBorder="1" applyAlignment="1">
      <alignment horizontal="left"/>
    </xf>
    <xf numFmtId="0" fontId="1" fillId="5" borderId="0" xfId="1" applyFill="1" applyBorder="1"/>
    <xf numFmtId="0" fontId="2" fillId="5" borderId="0" xfId="1" applyFont="1" applyFill="1" applyBorder="1"/>
    <xf numFmtId="0" fontId="7" fillId="5" borderId="0" xfId="1" applyFont="1" applyFill="1" applyBorder="1" applyAlignment="1">
      <alignment horizontal="center" vertical="center" wrapText="1"/>
    </xf>
    <xf numFmtId="0" fontId="2" fillId="5" borderId="0" xfId="1" applyFont="1" applyFill="1" applyBorder="1" applyAlignment="1">
      <alignment horizontal="center" vertical="center" wrapText="1"/>
    </xf>
    <xf numFmtId="0" fontId="7" fillId="5" borderId="0" xfId="1" applyFont="1" applyFill="1" applyAlignment="1">
      <alignment horizontal="center" vertical="center" wrapText="1"/>
    </xf>
    <xf numFmtId="0" fontId="2" fillId="5" borderId="0" xfId="1" applyFont="1" applyFill="1" applyAlignment="1">
      <alignment horizontal="center" vertical="center" wrapText="1"/>
    </xf>
    <xf numFmtId="0" fontId="2" fillId="5" borderId="0" xfId="1" applyFont="1" applyFill="1" applyAlignment="1">
      <alignment horizontal="center"/>
    </xf>
    <xf numFmtId="0" fontId="4" fillId="5" borderId="0" xfId="1" applyFont="1" applyFill="1" applyBorder="1"/>
    <xf numFmtId="0" fontId="8" fillId="5" borderId="0" xfId="1" applyFont="1" applyFill="1" applyBorder="1" applyAlignment="1">
      <alignment horizontal="center"/>
    </xf>
    <xf numFmtId="0" fontId="4" fillId="5" borderId="0" xfId="1" applyFont="1" applyFill="1" applyBorder="1" applyAlignment="1">
      <alignment horizontal="center"/>
    </xf>
    <xf numFmtId="0" fontId="8" fillId="5" borderId="0" xfId="1" applyFont="1" applyFill="1" applyAlignment="1">
      <alignment horizontal="center"/>
    </xf>
    <xf numFmtId="0" fontId="4" fillId="5" borderId="0" xfId="1" applyFont="1" applyFill="1" applyAlignment="1">
      <alignment horizontal="center"/>
    </xf>
    <xf numFmtId="0" fontId="1" fillId="5" borderId="1" xfId="1" applyFill="1" applyBorder="1"/>
    <xf numFmtId="0" fontId="2" fillId="5" borderId="1" xfId="1" applyFont="1" applyFill="1" applyBorder="1"/>
    <xf numFmtId="0" fontId="7" fillId="5" borderId="1" xfId="1" applyFont="1" applyFill="1" applyBorder="1" applyAlignment="1">
      <alignment horizontal="center"/>
    </xf>
    <xf numFmtId="0" fontId="2" fillId="5" borderId="1" xfId="1" applyFont="1" applyFill="1" applyBorder="1" applyAlignment="1">
      <alignment horizontal="center"/>
    </xf>
    <xf numFmtId="167" fontId="8" fillId="5" borderId="0" xfId="1" applyNumberFormat="1" applyFont="1" applyFill="1" applyBorder="1"/>
    <xf numFmtId="9" fontId="1" fillId="5" borderId="0" xfId="2" applyFont="1" applyFill="1" applyBorder="1"/>
    <xf numFmtId="0" fontId="3" fillId="5" borderId="0" xfId="1" applyFont="1" applyFill="1"/>
    <xf numFmtId="9" fontId="1" fillId="5" borderId="0" xfId="2" applyFont="1" applyFill="1"/>
    <xf numFmtId="9" fontId="1" fillId="5" borderId="0" xfId="2" applyFill="1"/>
    <xf numFmtId="2" fontId="3" fillId="5" borderId="0" xfId="1" applyNumberFormat="1" applyFont="1" applyFill="1" applyBorder="1"/>
    <xf numFmtId="1" fontId="4" fillId="5" borderId="0" xfId="1" applyNumberFormat="1" applyFont="1" applyFill="1" applyBorder="1"/>
    <xf numFmtId="9" fontId="10" fillId="5" borderId="0" xfId="2" applyFont="1" applyFill="1" applyBorder="1" applyAlignment="1">
      <alignment horizontal="left"/>
    </xf>
    <xf numFmtId="0" fontId="1" fillId="5" borderId="0" xfId="1" applyFont="1" applyFill="1" applyBorder="1"/>
    <xf numFmtId="167" fontId="3" fillId="5" borderId="0" xfId="1" applyNumberFormat="1" applyFont="1" applyFill="1" applyBorder="1"/>
    <xf numFmtId="167" fontId="3" fillId="5" borderId="1" xfId="1" applyNumberFormat="1" applyFont="1" applyFill="1" applyBorder="1"/>
    <xf numFmtId="9" fontId="10" fillId="5" borderId="1" xfId="2" applyFont="1" applyFill="1" applyBorder="1" applyAlignment="1">
      <alignment horizontal="left"/>
    </xf>
    <xf numFmtId="9" fontId="1" fillId="5" borderId="0" xfId="2" applyFill="1" applyBorder="1"/>
    <xf numFmtId="1" fontId="1" fillId="5" borderId="0" xfId="1" applyNumberFormat="1" applyFill="1" applyBorder="1"/>
    <xf numFmtId="1" fontId="3" fillId="5" borderId="0" xfId="1" applyNumberFormat="1" applyFont="1" applyFill="1" applyBorder="1"/>
    <xf numFmtId="1" fontId="2" fillId="5" borderId="1" xfId="1" applyNumberFormat="1" applyFont="1" applyFill="1" applyBorder="1"/>
    <xf numFmtId="168" fontId="2" fillId="5" borderId="1" xfId="2" applyNumberFormat="1" applyFont="1" applyFill="1" applyBorder="1"/>
    <xf numFmtId="0" fontId="4" fillId="5" borderId="0" xfId="1" applyFont="1" applyFill="1" applyBorder="1" applyAlignment="1">
      <alignment horizontal="left" indent="1"/>
    </xf>
    <xf numFmtId="0" fontId="1" fillId="5" borderId="0" xfId="1" applyFill="1" applyBorder="1" applyAlignment="1">
      <alignment horizontal="left" indent="1"/>
    </xf>
    <xf numFmtId="9" fontId="1" fillId="5" borderId="1" xfId="2" applyFont="1" applyFill="1" applyBorder="1"/>
    <xf numFmtId="168" fontId="1" fillId="5" borderId="0" xfId="2" applyNumberFormat="1" applyFont="1" applyFill="1" applyBorder="1"/>
    <xf numFmtId="167" fontId="11" fillId="5" borderId="0" xfId="1" applyNumberFormat="1" applyFont="1" applyFill="1" applyBorder="1"/>
    <xf numFmtId="173" fontId="8" fillId="5" borderId="0" xfId="1" applyNumberFormat="1" applyFont="1" applyFill="1" applyBorder="1"/>
    <xf numFmtId="167" fontId="1" fillId="5" borderId="0" xfId="1" applyNumberFormat="1" applyFont="1" applyFill="1" applyBorder="1"/>
    <xf numFmtId="0" fontId="2" fillId="5" borderId="1" xfId="1" applyFont="1" applyFill="1" applyBorder="1" applyAlignment="1">
      <alignment horizontal="left" indent="1"/>
    </xf>
    <xf numFmtId="0" fontId="1" fillId="5" borderId="0" xfId="1" applyFill="1" applyAlignment="1">
      <alignment horizontal="left" indent="2"/>
    </xf>
    <xf numFmtId="174" fontId="1" fillId="5" borderId="0" xfId="2" applyNumberFormat="1" applyFill="1"/>
    <xf numFmtId="1" fontId="3" fillId="5" borderId="1" xfId="1" applyNumberFormat="1" applyFont="1" applyFill="1" applyBorder="1"/>
    <xf numFmtId="0" fontId="4" fillId="5" borderId="0" xfId="1" applyFont="1" applyFill="1" applyAlignment="1">
      <alignment horizontal="left" indent="2"/>
    </xf>
    <xf numFmtId="0" fontId="2" fillId="5" borderId="1" xfId="1" applyFont="1" applyFill="1" applyBorder="1" applyAlignment="1">
      <alignment horizontal="left" indent="2"/>
    </xf>
    <xf numFmtId="0" fontId="8" fillId="5" borderId="1" xfId="1" applyFont="1" applyFill="1" applyBorder="1"/>
    <xf numFmtId="2" fontId="8" fillId="5" borderId="1" xfId="1" applyNumberFormat="1" applyFont="1" applyFill="1" applyBorder="1"/>
    <xf numFmtId="0" fontId="1" fillId="5" borderId="0" xfId="1" applyFill="1" applyAlignment="1">
      <alignment horizontal="left" indent="3"/>
    </xf>
    <xf numFmtId="1" fontId="1" fillId="5" borderId="0" xfId="1" applyNumberFormat="1" applyFill="1"/>
    <xf numFmtId="0" fontId="4" fillId="5" borderId="0" xfId="1" applyFont="1" applyFill="1" applyAlignment="1">
      <alignment horizontal="left" indent="3"/>
    </xf>
    <xf numFmtId="0" fontId="2" fillId="5" borderId="1" xfId="1" applyFont="1" applyFill="1" applyBorder="1" applyAlignment="1">
      <alignment horizontal="left" indent="3"/>
    </xf>
    <xf numFmtId="0" fontId="1" fillId="5" borderId="0" xfId="1" applyFill="1" applyAlignment="1">
      <alignment horizontal="left" indent="4"/>
    </xf>
    <xf numFmtId="0" fontId="2" fillId="5" borderId="1" xfId="1" applyFont="1" applyFill="1" applyBorder="1" applyAlignment="1">
      <alignment horizontal="left" indent="4"/>
    </xf>
    <xf numFmtId="0" fontId="1" fillId="5" borderId="0" xfId="1" applyFill="1" applyAlignment="1">
      <alignment horizontal="left" indent="5"/>
    </xf>
    <xf numFmtId="0" fontId="2" fillId="5" borderId="1" xfId="1" applyFont="1" applyFill="1" applyBorder="1" applyAlignment="1">
      <alignment horizontal="left" indent="5"/>
    </xf>
    <xf numFmtId="9" fontId="1" fillId="5" borderId="1" xfId="2" applyFill="1" applyBorder="1"/>
    <xf numFmtId="0" fontId="1" fillId="5" borderId="0" xfId="1" applyFont="1" applyFill="1"/>
    <xf numFmtId="3" fontId="3" fillId="5" borderId="0" xfId="1" applyNumberFormat="1" applyFont="1" applyFill="1"/>
    <xf numFmtId="3" fontId="1" fillId="5" borderId="0" xfId="1" applyNumberFormat="1" applyFill="1"/>
    <xf numFmtId="171" fontId="3" fillId="5" borderId="0" xfId="1" applyNumberFormat="1" applyFont="1" applyFill="1"/>
    <xf numFmtId="3" fontId="1" fillId="5" borderId="0" xfId="1" applyNumberFormat="1" applyFont="1" applyFill="1"/>
    <xf numFmtId="0" fontId="1" fillId="5" borderId="1" xfId="1" applyFont="1" applyFill="1" applyBorder="1"/>
    <xf numFmtId="3" fontId="4" fillId="5" borderId="1" xfId="1" applyNumberFormat="1" applyFont="1" applyFill="1" applyBorder="1"/>
    <xf numFmtId="3" fontId="1" fillId="5" borderId="1" xfId="1" applyNumberFormat="1" applyFill="1" applyBorder="1"/>
    <xf numFmtId="3" fontId="8" fillId="5" borderId="0" xfId="1" applyNumberFormat="1" applyFont="1" applyFill="1"/>
    <xf numFmtId="169" fontId="1" fillId="5" borderId="0" xfId="1" applyNumberFormat="1" applyFont="1" applyFill="1"/>
    <xf numFmtId="170" fontId="1" fillId="5" borderId="0" xfId="1" applyNumberFormat="1" applyFont="1" applyFill="1"/>
    <xf numFmtId="3" fontId="2" fillId="5" borderId="1" xfId="1" applyNumberFormat="1" applyFont="1" applyFill="1" applyBorder="1"/>
    <xf numFmtId="9" fontId="10" fillId="5" borderId="5" xfId="7" applyFont="1" applyFill="1" applyBorder="1" applyAlignment="1">
      <alignment horizontal="left"/>
    </xf>
    <xf numFmtId="9" fontId="10" fillId="5" borderId="0" xfId="7" applyFont="1" applyFill="1" applyBorder="1" applyAlignment="1">
      <alignment horizontal="left"/>
    </xf>
    <xf numFmtId="9" fontId="10" fillId="5" borderId="1" xfId="7" applyFont="1" applyFill="1" applyBorder="1" applyAlignment="1">
      <alignment horizontal="left"/>
    </xf>
    <xf numFmtId="169" fontId="1" fillId="5" borderId="0" xfId="1" applyNumberFormat="1" applyFont="1" applyFill="1" applyBorder="1"/>
    <xf numFmtId="172" fontId="1" fillId="5" borderId="0" xfId="1" applyNumberFormat="1" applyFont="1" applyFill="1" applyBorder="1"/>
    <xf numFmtId="170" fontId="1" fillId="5" borderId="0" xfId="1" applyNumberFormat="1" applyFont="1" applyFill="1" applyBorder="1"/>
    <xf numFmtId="3" fontId="2" fillId="5" borderId="0" xfId="1" applyNumberFormat="1" applyFont="1" applyFill="1" applyBorder="1"/>
    <xf numFmtId="169" fontId="1" fillId="5" borderId="1" xfId="1" applyNumberFormat="1" applyFont="1" applyFill="1" applyBorder="1"/>
    <xf numFmtId="172" fontId="1" fillId="5" borderId="1" xfId="1" applyNumberFormat="1" applyFont="1" applyFill="1" applyBorder="1"/>
    <xf numFmtId="170" fontId="1" fillId="5" borderId="1" xfId="1" applyNumberFormat="1" applyFont="1" applyFill="1" applyBorder="1"/>
    <xf numFmtId="172" fontId="1" fillId="5" borderId="0" xfId="1" applyNumberFormat="1" applyFont="1" applyFill="1"/>
    <xf numFmtId="3" fontId="2" fillId="5" borderId="0" xfId="1" applyNumberFormat="1" applyFont="1" applyFill="1"/>
    <xf numFmtId="166" fontId="2" fillId="5" borderId="0" xfId="1" applyNumberFormat="1" applyFont="1" applyFill="1"/>
    <xf numFmtId="166" fontId="1" fillId="5" borderId="0" xfId="1" applyNumberFormat="1" applyFill="1"/>
  </cellXfs>
  <cellStyles count="8">
    <cellStyle name="Comma [0] 2" xfId="6"/>
    <cellStyle name="Comma 2" xfId="5"/>
    <cellStyle name="Normal" xfId="0" builtinId="0"/>
    <cellStyle name="Normal 2" xfId="1"/>
    <cellStyle name="Normal 3" xfId="3"/>
    <cellStyle name="Percent" xfId="7" builtinId="5"/>
    <cellStyle name="Percent 2" xfId="2"/>
    <cellStyle name="Percent 3" xfId="4"/>
  </cellStyles>
  <dxfs count="6">
    <dxf>
      <font>
        <color auto="1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00FF00"/>
      <color rgb="FFFF00FF"/>
      <color rgb="FFFFCC00"/>
      <color rgb="FF0000FF"/>
      <color rgb="FF008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Margin and price development in mango value chain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'CB5 Mango juice'!$V$17</c:f>
              <c:strCache>
                <c:ptCount val="1"/>
                <c:pt idx="0">
                  <c:v>Margin per ton</c:v>
                </c:pt>
              </c:strCache>
            </c:strRef>
          </c:tx>
          <c:marker>
            <c:symbol val="none"/>
          </c:marker>
          <c:cat>
            <c:strRef>
              <c:f>'CB5 Mango juice'!$U$18:$U$31</c:f>
              <c:strCache>
                <c:ptCount val="6"/>
                <c:pt idx="0">
                  <c:v>Farmer in Peru</c:v>
                </c:pt>
                <c:pt idx="1">
                  <c:v>Fruit collector</c:v>
                </c:pt>
                <c:pt idx="2">
                  <c:v>Primary processor</c:v>
                </c:pt>
                <c:pt idx="3">
                  <c:v>Importer, blender</c:v>
                </c:pt>
                <c:pt idx="4">
                  <c:v>Juice filler</c:v>
                </c:pt>
                <c:pt idx="5">
                  <c:v>Retailer in Holland</c:v>
                </c:pt>
              </c:strCache>
            </c:strRef>
          </c:cat>
          <c:val>
            <c:numRef>
              <c:f>'CB5 Mango juice'!$V$18:$V$31</c:f>
              <c:numCache>
                <c:formatCode>0</c:formatCode>
                <c:ptCount val="6"/>
                <c:pt idx="0">
                  <c:v>50</c:v>
                </c:pt>
                <c:pt idx="1">
                  <c:v>8</c:v>
                </c:pt>
                <c:pt idx="2">
                  <c:v>100</c:v>
                </c:pt>
                <c:pt idx="3">
                  <c:v>200</c:v>
                </c:pt>
                <c:pt idx="4">
                  <c:v>200</c:v>
                </c:pt>
                <c:pt idx="5">
                  <c:v>600</c:v>
                </c:pt>
              </c:numCache>
            </c:numRef>
          </c:val>
        </c:ser>
        <c:ser>
          <c:idx val="1"/>
          <c:order val="1"/>
          <c:tx>
            <c:strRef>
              <c:f>'CB5 Mango juice'!$W$17</c:f>
              <c:strCache>
                <c:ptCount val="1"/>
                <c:pt idx="0">
                  <c:v>Price per ton</c:v>
                </c:pt>
              </c:strCache>
            </c:strRef>
          </c:tx>
          <c:marker>
            <c:symbol val="none"/>
          </c:marker>
          <c:cat>
            <c:strRef>
              <c:f>'CB5 Mango juice'!$U$18:$U$31</c:f>
              <c:strCache>
                <c:ptCount val="6"/>
                <c:pt idx="0">
                  <c:v>Farmer in Peru</c:v>
                </c:pt>
                <c:pt idx="1">
                  <c:v>Fruit collector</c:v>
                </c:pt>
                <c:pt idx="2">
                  <c:v>Primary processor</c:v>
                </c:pt>
                <c:pt idx="3">
                  <c:v>Importer, blender</c:v>
                </c:pt>
                <c:pt idx="4">
                  <c:v>Juice filler</c:v>
                </c:pt>
                <c:pt idx="5">
                  <c:v>Retailer in Holland</c:v>
                </c:pt>
              </c:strCache>
            </c:strRef>
          </c:cat>
          <c:val>
            <c:numRef>
              <c:f>'CB5 Mango juice'!$W$18:$W$31</c:f>
              <c:numCache>
                <c:formatCode>0</c:formatCode>
                <c:ptCount val="6"/>
                <c:pt idx="0">
                  <c:v>53</c:v>
                </c:pt>
                <c:pt idx="1">
                  <c:v>72.5</c:v>
                </c:pt>
                <c:pt idx="2">
                  <c:v>614</c:v>
                </c:pt>
                <c:pt idx="3">
                  <c:v>1149</c:v>
                </c:pt>
                <c:pt idx="4">
                  <c:v>1471.1717557251909</c:v>
                </c:pt>
                <c:pt idx="5">
                  <c:v>2071.1717557251909</c:v>
                </c:pt>
              </c:numCache>
            </c:numRef>
          </c:val>
        </c:ser>
        <c:marker val="1"/>
        <c:axId val="76522624"/>
        <c:axId val="65843968"/>
      </c:lineChart>
      <c:catAx>
        <c:axId val="76522624"/>
        <c:scaling>
          <c:orientation val="minMax"/>
        </c:scaling>
        <c:axPos val="b"/>
        <c:majorTickMark val="none"/>
        <c:tickLblPos val="nextTo"/>
        <c:crossAx val="65843968"/>
        <c:crosses val="autoZero"/>
        <c:auto val="1"/>
        <c:lblAlgn val="ctr"/>
        <c:lblOffset val="100"/>
      </c:catAx>
      <c:valAx>
        <c:axId val="6584396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USD</a:t>
                </a:r>
              </a:p>
            </c:rich>
          </c:tx>
          <c:layout/>
        </c:title>
        <c:numFmt formatCode="0" sourceLinked="1"/>
        <c:maj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76522624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sz="1100"/>
          </a:pPr>
          <a:endParaRPr lang="en-US"/>
        </a:p>
      </c:txPr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Share of total margins</a:t>
            </a:r>
            <a:r>
              <a:rPr lang="en-US" baseline="0"/>
              <a:t> in mango value chain: Peru --&gt; Holland</a:t>
            </a:r>
            <a:endParaRPr lang="en-US"/>
          </a:p>
        </c:rich>
      </c:tx>
      <c:layout/>
    </c:title>
    <c:plotArea>
      <c:layout/>
      <c:pieChart>
        <c:varyColors val="1"/>
        <c:ser>
          <c:idx val="0"/>
          <c:order val="0"/>
          <c:tx>
            <c:strRef>
              <c:f>'CB5 Mango juice'!$V$17</c:f>
              <c:strCache>
                <c:ptCount val="1"/>
                <c:pt idx="0">
                  <c:v>Margin per ton</c:v>
                </c:pt>
              </c:strCache>
            </c:strRef>
          </c:tx>
          <c:dLbls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showPercent val="1"/>
            <c:showLeaderLines val="1"/>
          </c:dLbls>
          <c:cat>
            <c:strRef>
              <c:f>'CB5 Mango juice'!$U$18:$U$31</c:f>
              <c:strCache>
                <c:ptCount val="6"/>
                <c:pt idx="0">
                  <c:v>Farmer in Peru</c:v>
                </c:pt>
                <c:pt idx="1">
                  <c:v>Fruit collector</c:v>
                </c:pt>
                <c:pt idx="2">
                  <c:v>Primary processor</c:v>
                </c:pt>
                <c:pt idx="3">
                  <c:v>Importer, blender</c:v>
                </c:pt>
                <c:pt idx="4">
                  <c:v>Juice filler</c:v>
                </c:pt>
                <c:pt idx="5">
                  <c:v>Retailer in Holland</c:v>
                </c:pt>
              </c:strCache>
            </c:strRef>
          </c:cat>
          <c:val>
            <c:numRef>
              <c:f>'CB5 Mango juice'!$V$18:$V$31</c:f>
              <c:numCache>
                <c:formatCode>0</c:formatCode>
                <c:ptCount val="6"/>
                <c:pt idx="0">
                  <c:v>50</c:v>
                </c:pt>
                <c:pt idx="1">
                  <c:v>8</c:v>
                </c:pt>
                <c:pt idx="2">
                  <c:v>100</c:v>
                </c:pt>
                <c:pt idx="3">
                  <c:v>200</c:v>
                </c:pt>
                <c:pt idx="4">
                  <c:v>200</c:v>
                </c:pt>
                <c:pt idx="5">
                  <c:v>600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  <c:layout/>
      <c:txPr>
        <a:bodyPr/>
        <a:lstStyle/>
        <a:p>
          <a:pPr>
            <a:defRPr sz="1200"/>
          </a:pPr>
          <a:endParaRPr lang="en-US"/>
        </a:p>
      </c:txPr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226217</xdr:colOff>
      <xdr:row>54</xdr:row>
      <xdr:rowOff>142875</xdr:rowOff>
    </xdr:from>
    <xdr:to>
      <xdr:col>30</xdr:col>
      <xdr:colOff>369092</xdr:colOff>
      <xdr:row>85</xdr:row>
      <xdr:rowOff>47625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226219</xdr:colOff>
      <xdr:row>9</xdr:row>
      <xdr:rowOff>83344</xdr:rowOff>
    </xdr:from>
    <xdr:to>
      <xdr:col>30</xdr:col>
      <xdr:colOff>369094</xdr:colOff>
      <xdr:row>48</xdr:row>
      <xdr:rowOff>154782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91"/>
  <sheetViews>
    <sheetView tabSelected="1" zoomScale="110" zoomScaleNormal="110" workbookViewId="0">
      <pane ySplit="9" topLeftCell="A10" activePane="bottomLeft" state="frozen"/>
      <selection pane="bottomLeft" activeCell="F9" sqref="F9"/>
    </sheetView>
  </sheetViews>
  <sheetFormatPr defaultRowHeight="12.75" outlineLevelRow="1"/>
  <cols>
    <col min="1" max="1" width="2.85546875" style="1" customWidth="1"/>
    <col min="2" max="2" width="4.42578125" style="1" customWidth="1"/>
    <col min="3" max="3" width="41.7109375" style="1" customWidth="1"/>
    <col min="4" max="4" width="9.42578125" style="1" customWidth="1"/>
    <col min="5" max="5" width="6.85546875" style="1" customWidth="1"/>
    <col min="6" max="6" width="9.42578125" style="1" customWidth="1"/>
    <col min="7" max="7" width="6.85546875" style="1" customWidth="1"/>
    <col min="8" max="8" width="11.7109375" style="1" customWidth="1"/>
    <col min="9" max="9" width="8" style="1" customWidth="1"/>
    <col min="10" max="10" width="11.7109375" style="1" customWidth="1"/>
    <col min="11" max="11" width="8" style="1" customWidth="1"/>
    <col min="12" max="12" width="9.85546875" style="1" customWidth="1"/>
    <col min="13" max="13" width="7.5703125" style="1" customWidth="1"/>
    <col min="14" max="14" width="10" style="1" customWidth="1"/>
    <col min="15" max="15" width="6.85546875" style="1" customWidth="1"/>
    <col min="16" max="16" width="10" style="1" hidden="1" customWidth="1"/>
    <col min="17" max="17" width="6.85546875" style="1" hidden="1" customWidth="1"/>
    <col min="18" max="18" width="12.42578125" style="1" customWidth="1"/>
    <col min="19" max="19" width="3.28515625" style="1" customWidth="1"/>
    <col min="20" max="20" width="2.42578125" style="1" bestFit="1" customWidth="1"/>
    <col min="21" max="21" width="17.140625" style="1" bestFit="1" customWidth="1"/>
    <col min="22" max="22" width="11.42578125" style="13" customWidth="1"/>
    <col min="23" max="23" width="11.7109375" style="13" customWidth="1"/>
    <col min="24" max="24" width="8.5703125" style="13" customWidth="1"/>
    <col min="25" max="25" width="10.140625" style="1" customWidth="1"/>
    <col min="26" max="26" width="9.28515625" style="1" customWidth="1"/>
    <col min="27" max="28" width="9.140625" style="1"/>
    <col min="29" max="29" width="9.42578125" style="1" bestFit="1" customWidth="1"/>
    <col min="30" max="30" width="10.7109375" style="1" customWidth="1"/>
    <col min="31" max="261" width="9.140625" style="1"/>
    <col min="262" max="262" width="4.42578125" style="1" customWidth="1"/>
    <col min="263" max="263" width="46" style="1" customWidth="1"/>
    <col min="264" max="264" width="9.140625" style="1" customWidth="1"/>
    <col min="265" max="265" width="6.85546875" style="1" bestFit="1" customWidth="1"/>
    <col min="266" max="266" width="11.85546875" style="1" bestFit="1" customWidth="1"/>
    <col min="267" max="267" width="6.28515625" style="1" bestFit="1" customWidth="1"/>
    <col min="268" max="268" width="10.28515625" style="1" bestFit="1" customWidth="1"/>
    <col min="269" max="269" width="6.28515625" style="1" bestFit="1" customWidth="1"/>
    <col min="270" max="270" width="11.140625" style="1" bestFit="1" customWidth="1"/>
    <col min="271" max="271" width="6.28515625" style="1" bestFit="1" customWidth="1"/>
    <col min="272" max="272" width="10" style="1" bestFit="1" customWidth="1"/>
    <col min="273" max="273" width="8.7109375" style="1" bestFit="1" customWidth="1"/>
    <col min="274" max="274" width="10.85546875" style="1" bestFit="1" customWidth="1"/>
    <col min="275" max="517" width="9.140625" style="1"/>
    <col min="518" max="518" width="4.42578125" style="1" customWidth="1"/>
    <col min="519" max="519" width="46" style="1" customWidth="1"/>
    <col min="520" max="520" width="9.140625" style="1" customWidth="1"/>
    <col min="521" max="521" width="6.85546875" style="1" bestFit="1" customWidth="1"/>
    <col min="522" max="522" width="11.85546875" style="1" bestFit="1" customWidth="1"/>
    <col min="523" max="523" width="6.28515625" style="1" bestFit="1" customWidth="1"/>
    <col min="524" max="524" width="10.28515625" style="1" bestFit="1" customWidth="1"/>
    <col min="525" max="525" width="6.28515625" style="1" bestFit="1" customWidth="1"/>
    <col min="526" max="526" width="11.140625" style="1" bestFit="1" customWidth="1"/>
    <col min="527" max="527" width="6.28515625" style="1" bestFit="1" customWidth="1"/>
    <col min="528" max="528" width="10" style="1" bestFit="1" customWidth="1"/>
    <col min="529" max="529" width="8.7109375" style="1" bestFit="1" customWidth="1"/>
    <col min="530" max="530" width="10.85546875" style="1" bestFit="1" customWidth="1"/>
    <col min="531" max="773" width="9.140625" style="1"/>
    <col min="774" max="774" width="4.42578125" style="1" customWidth="1"/>
    <col min="775" max="775" width="46" style="1" customWidth="1"/>
    <col min="776" max="776" width="9.140625" style="1" customWidth="1"/>
    <col min="777" max="777" width="6.85546875" style="1" bestFit="1" customWidth="1"/>
    <col min="778" max="778" width="11.85546875" style="1" bestFit="1" customWidth="1"/>
    <col min="779" max="779" width="6.28515625" style="1" bestFit="1" customWidth="1"/>
    <col min="780" max="780" width="10.28515625" style="1" bestFit="1" customWidth="1"/>
    <col min="781" max="781" width="6.28515625" style="1" bestFit="1" customWidth="1"/>
    <col min="782" max="782" width="11.140625" style="1" bestFit="1" customWidth="1"/>
    <col min="783" max="783" width="6.28515625" style="1" bestFit="1" customWidth="1"/>
    <col min="784" max="784" width="10" style="1" bestFit="1" customWidth="1"/>
    <col min="785" max="785" width="8.7109375" style="1" bestFit="1" customWidth="1"/>
    <col min="786" max="786" width="10.85546875" style="1" bestFit="1" customWidth="1"/>
    <col min="787" max="1029" width="9.140625" style="1"/>
    <col min="1030" max="1030" width="4.42578125" style="1" customWidth="1"/>
    <col min="1031" max="1031" width="46" style="1" customWidth="1"/>
    <col min="1032" max="1032" width="9.140625" style="1" customWidth="1"/>
    <col min="1033" max="1033" width="6.85546875" style="1" bestFit="1" customWidth="1"/>
    <col min="1034" max="1034" width="11.85546875" style="1" bestFit="1" customWidth="1"/>
    <col min="1035" max="1035" width="6.28515625" style="1" bestFit="1" customWidth="1"/>
    <col min="1036" max="1036" width="10.28515625" style="1" bestFit="1" customWidth="1"/>
    <col min="1037" max="1037" width="6.28515625" style="1" bestFit="1" customWidth="1"/>
    <col min="1038" max="1038" width="11.140625" style="1" bestFit="1" customWidth="1"/>
    <col min="1039" max="1039" width="6.28515625" style="1" bestFit="1" customWidth="1"/>
    <col min="1040" max="1040" width="10" style="1" bestFit="1" customWidth="1"/>
    <col min="1041" max="1041" width="8.7109375" style="1" bestFit="1" customWidth="1"/>
    <col min="1042" max="1042" width="10.85546875" style="1" bestFit="1" customWidth="1"/>
    <col min="1043" max="1285" width="9.140625" style="1"/>
    <col min="1286" max="1286" width="4.42578125" style="1" customWidth="1"/>
    <col min="1287" max="1287" width="46" style="1" customWidth="1"/>
    <col min="1288" max="1288" width="9.140625" style="1" customWidth="1"/>
    <col min="1289" max="1289" width="6.85546875" style="1" bestFit="1" customWidth="1"/>
    <col min="1290" max="1290" width="11.85546875" style="1" bestFit="1" customWidth="1"/>
    <col min="1291" max="1291" width="6.28515625" style="1" bestFit="1" customWidth="1"/>
    <col min="1292" max="1292" width="10.28515625" style="1" bestFit="1" customWidth="1"/>
    <col min="1293" max="1293" width="6.28515625" style="1" bestFit="1" customWidth="1"/>
    <col min="1294" max="1294" width="11.140625" style="1" bestFit="1" customWidth="1"/>
    <col min="1295" max="1295" width="6.28515625" style="1" bestFit="1" customWidth="1"/>
    <col min="1296" max="1296" width="10" style="1" bestFit="1" customWidth="1"/>
    <col min="1297" max="1297" width="8.7109375" style="1" bestFit="1" customWidth="1"/>
    <col min="1298" max="1298" width="10.85546875" style="1" bestFit="1" customWidth="1"/>
    <col min="1299" max="1541" width="9.140625" style="1"/>
    <col min="1542" max="1542" width="4.42578125" style="1" customWidth="1"/>
    <col min="1543" max="1543" width="46" style="1" customWidth="1"/>
    <col min="1544" max="1544" width="9.140625" style="1" customWidth="1"/>
    <col min="1545" max="1545" width="6.85546875" style="1" bestFit="1" customWidth="1"/>
    <col min="1546" max="1546" width="11.85546875" style="1" bestFit="1" customWidth="1"/>
    <col min="1547" max="1547" width="6.28515625" style="1" bestFit="1" customWidth="1"/>
    <col min="1548" max="1548" width="10.28515625" style="1" bestFit="1" customWidth="1"/>
    <col min="1549" max="1549" width="6.28515625" style="1" bestFit="1" customWidth="1"/>
    <col min="1550" max="1550" width="11.140625" style="1" bestFit="1" customWidth="1"/>
    <col min="1551" max="1551" width="6.28515625" style="1" bestFit="1" customWidth="1"/>
    <col min="1552" max="1552" width="10" style="1" bestFit="1" customWidth="1"/>
    <col min="1553" max="1553" width="8.7109375" style="1" bestFit="1" customWidth="1"/>
    <col min="1554" max="1554" width="10.85546875" style="1" bestFit="1" customWidth="1"/>
    <col min="1555" max="1797" width="9.140625" style="1"/>
    <col min="1798" max="1798" width="4.42578125" style="1" customWidth="1"/>
    <col min="1799" max="1799" width="46" style="1" customWidth="1"/>
    <col min="1800" max="1800" width="9.140625" style="1" customWidth="1"/>
    <col min="1801" max="1801" width="6.85546875" style="1" bestFit="1" customWidth="1"/>
    <col min="1802" max="1802" width="11.85546875" style="1" bestFit="1" customWidth="1"/>
    <col min="1803" max="1803" width="6.28515625" style="1" bestFit="1" customWidth="1"/>
    <col min="1804" max="1804" width="10.28515625" style="1" bestFit="1" customWidth="1"/>
    <col min="1805" max="1805" width="6.28515625" style="1" bestFit="1" customWidth="1"/>
    <col min="1806" max="1806" width="11.140625" style="1" bestFit="1" customWidth="1"/>
    <col min="1807" max="1807" width="6.28515625" style="1" bestFit="1" customWidth="1"/>
    <col min="1808" max="1808" width="10" style="1" bestFit="1" customWidth="1"/>
    <col min="1809" max="1809" width="8.7109375" style="1" bestFit="1" customWidth="1"/>
    <col min="1810" max="1810" width="10.85546875" style="1" bestFit="1" customWidth="1"/>
    <col min="1811" max="2053" width="9.140625" style="1"/>
    <col min="2054" max="2054" width="4.42578125" style="1" customWidth="1"/>
    <col min="2055" max="2055" width="46" style="1" customWidth="1"/>
    <col min="2056" max="2056" width="9.140625" style="1" customWidth="1"/>
    <col min="2057" max="2057" width="6.85546875" style="1" bestFit="1" customWidth="1"/>
    <col min="2058" max="2058" width="11.85546875" style="1" bestFit="1" customWidth="1"/>
    <col min="2059" max="2059" width="6.28515625" style="1" bestFit="1" customWidth="1"/>
    <col min="2060" max="2060" width="10.28515625" style="1" bestFit="1" customWidth="1"/>
    <col min="2061" max="2061" width="6.28515625" style="1" bestFit="1" customWidth="1"/>
    <col min="2062" max="2062" width="11.140625" style="1" bestFit="1" customWidth="1"/>
    <col min="2063" max="2063" width="6.28515625" style="1" bestFit="1" customWidth="1"/>
    <col min="2064" max="2064" width="10" style="1" bestFit="1" customWidth="1"/>
    <col min="2065" max="2065" width="8.7109375" style="1" bestFit="1" customWidth="1"/>
    <col min="2066" max="2066" width="10.85546875" style="1" bestFit="1" customWidth="1"/>
    <col min="2067" max="2309" width="9.140625" style="1"/>
    <col min="2310" max="2310" width="4.42578125" style="1" customWidth="1"/>
    <col min="2311" max="2311" width="46" style="1" customWidth="1"/>
    <col min="2312" max="2312" width="9.140625" style="1" customWidth="1"/>
    <col min="2313" max="2313" width="6.85546875" style="1" bestFit="1" customWidth="1"/>
    <col min="2314" max="2314" width="11.85546875" style="1" bestFit="1" customWidth="1"/>
    <col min="2315" max="2315" width="6.28515625" style="1" bestFit="1" customWidth="1"/>
    <col min="2316" max="2316" width="10.28515625" style="1" bestFit="1" customWidth="1"/>
    <col min="2317" max="2317" width="6.28515625" style="1" bestFit="1" customWidth="1"/>
    <col min="2318" max="2318" width="11.140625" style="1" bestFit="1" customWidth="1"/>
    <col min="2319" max="2319" width="6.28515625" style="1" bestFit="1" customWidth="1"/>
    <col min="2320" max="2320" width="10" style="1" bestFit="1" customWidth="1"/>
    <col min="2321" max="2321" width="8.7109375" style="1" bestFit="1" customWidth="1"/>
    <col min="2322" max="2322" width="10.85546875" style="1" bestFit="1" customWidth="1"/>
    <col min="2323" max="2565" width="9.140625" style="1"/>
    <col min="2566" max="2566" width="4.42578125" style="1" customWidth="1"/>
    <col min="2567" max="2567" width="46" style="1" customWidth="1"/>
    <col min="2568" max="2568" width="9.140625" style="1" customWidth="1"/>
    <col min="2569" max="2569" width="6.85546875" style="1" bestFit="1" customWidth="1"/>
    <col min="2570" max="2570" width="11.85546875" style="1" bestFit="1" customWidth="1"/>
    <col min="2571" max="2571" width="6.28515625" style="1" bestFit="1" customWidth="1"/>
    <col min="2572" max="2572" width="10.28515625" style="1" bestFit="1" customWidth="1"/>
    <col min="2573" max="2573" width="6.28515625" style="1" bestFit="1" customWidth="1"/>
    <col min="2574" max="2574" width="11.140625" style="1" bestFit="1" customWidth="1"/>
    <col min="2575" max="2575" width="6.28515625" style="1" bestFit="1" customWidth="1"/>
    <col min="2576" max="2576" width="10" style="1" bestFit="1" customWidth="1"/>
    <col min="2577" max="2577" width="8.7109375" style="1" bestFit="1" customWidth="1"/>
    <col min="2578" max="2578" width="10.85546875" style="1" bestFit="1" customWidth="1"/>
    <col min="2579" max="2821" width="9.140625" style="1"/>
    <col min="2822" max="2822" width="4.42578125" style="1" customWidth="1"/>
    <col min="2823" max="2823" width="46" style="1" customWidth="1"/>
    <col min="2824" max="2824" width="9.140625" style="1" customWidth="1"/>
    <col min="2825" max="2825" width="6.85546875" style="1" bestFit="1" customWidth="1"/>
    <col min="2826" max="2826" width="11.85546875" style="1" bestFit="1" customWidth="1"/>
    <col min="2827" max="2827" width="6.28515625" style="1" bestFit="1" customWidth="1"/>
    <col min="2828" max="2828" width="10.28515625" style="1" bestFit="1" customWidth="1"/>
    <col min="2829" max="2829" width="6.28515625" style="1" bestFit="1" customWidth="1"/>
    <col min="2830" max="2830" width="11.140625" style="1" bestFit="1" customWidth="1"/>
    <col min="2831" max="2831" width="6.28515625" style="1" bestFit="1" customWidth="1"/>
    <col min="2832" max="2832" width="10" style="1" bestFit="1" customWidth="1"/>
    <col min="2833" max="2833" width="8.7109375" style="1" bestFit="1" customWidth="1"/>
    <col min="2834" max="2834" width="10.85546875" style="1" bestFit="1" customWidth="1"/>
    <col min="2835" max="3077" width="9.140625" style="1"/>
    <col min="3078" max="3078" width="4.42578125" style="1" customWidth="1"/>
    <col min="3079" max="3079" width="46" style="1" customWidth="1"/>
    <col min="3080" max="3080" width="9.140625" style="1" customWidth="1"/>
    <col min="3081" max="3081" width="6.85546875" style="1" bestFit="1" customWidth="1"/>
    <col min="3082" max="3082" width="11.85546875" style="1" bestFit="1" customWidth="1"/>
    <col min="3083" max="3083" width="6.28515625" style="1" bestFit="1" customWidth="1"/>
    <col min="3084" max="3084" width="10.28515625" style="1" bestFit="1" customWidth="1"/>
    <col min="3085" max="3085" width="6.28515625" style="1" bestFit="1" customWidth="1"/>
    <col min="3086" max="3086" width="11.140625" style="1" bestFit="1" customWidth="1"/>
    <col min="3087" max="3087" width="6.28515625" style="1" bestFit="1" customWidth="1"/>
    <col min="3088" max="3088" width="10" style="1" bestFit="1" customWidth="1"/>
    <col min="3089" max="3089" width="8.7109375" style="1" bestFit="1" customWidth="1"/>
    <col min="3090" max="3090" width="10.85546875" style="1" bestFit="1" customWidth="1"/>
    <col min="3091" max="3333" width="9.140625" style="1"/>
    <col min="3334" max="3334" width="4.42578125" style="1" customWidth="1"/>
    <col min="3335" max="3335" width="46" style="1" customWidth="1"/>
    <col min="3336" max="3336" width="9.140625" style="1" customWidth="1"/>
    <col min="3337" max="3337" width="6.85546875" style="1" bestFit="1" customWidth="1"/>
    <col min="3338" max="3338" width="11.85546875" style="1" bestFit="1" customWidth="1"/>
    <col min="3339" max="3339" width="6.28515625" style="1" bestFit="1" customWidth="1"/>
    <col min="3340" max="3340" width="10.28515625" style="1" bestFit="1" customWidth="1"/>
    <col min="3341" max="3341" width="6.28515625" style="1" bestFit="1" customWidth="1"/>
    <col min="3342" max="3342" width="11.140625" style="1" bestFit="1" customWidth="1"/>
    <col min="3343" max="3343" width="6.28515625" style="1" bestFit="1" customWidth="1"/>
    <col min="3344" max="3344" width="10" style="1" bestFit="1" customWidth="1"/>
    <col min="3345" max="3345" width="8.7109375" style="1" bestFit="1" customWidth="1"/>
    <col min="3346" max="3346" width="10.85546875" style="1" bestFit="1" customWidth="1"/>
    <col min="3347" max="3589" width="9.140625" style="1"/>
    <col min="3590" max="3590" width="4.42578125" style="1" customWidth="1"/>
    <col min="3591" max="3591" width="46" style="1" customWidth="1"/>
    <col min="3592" max="3592" width="9.140625" style="1" customWidth="1"/>
    <col min="3593" max="3593" width="6.85546875" style="1" bestFit="1" customWidth="1"/>
    <col min="3594" max="3594" width="11.85546875" style="1" bestFit="1" customWidth="1"/>
    <col min="3595" max="3595" width="6.28515625" style="1" bestFit="1" customWidth="1"/>
    <col min="3596" max="3596" width="10.28515625" style="1" bestFit="1" customWidth="1"/>
    <col min="3597" max="3597" width="6.28515625" style="1" bestFit="1" customWidth="1"/>
    <col min="3598" max="3598" width="11.140625" style="1" bestFit="1" customWidth="1"/>
    <col min="3599" max="3599" width="6.28515625" style="1" bestFit="1" customWidth="1"/>
    <col min="3600" max="3600" width="10" style="1" bestFit="1" customWidth="1"/>
    <col min="3601" max="3601" width="8.7109375" style="1" bestFit="1" customWidth="1"/>
    <col min="3602" max="3602" width="10.85546875" style="1" bestFit="1" customWidth="1"/>
    <col min="3603" max="3845" width="9.140625" style="1"/>
    <col min="3846" max="3846" width="4.42578125" style="1" customWidth="1"/>
    <col min="3847" max="3847" width="46" style="1" customWidth="1"/>
    <col min="3848" max="3848" width="9.140625" style="1" customWidth="1"/>
    <col min="3849" max="3849" width="6.85546875" style="1" bestFit="1" customWidth="1"/>
    <col min="3850" max="3850" width="11.85546875" style="1" bestFit="1" customWidth="1"/>
    <col min="3851" max="3851" width="6.28515625" style="1" bestFit="1" customWidth="1"/>
    <col min="3852" max="3852" width="10.28515625" style="1" bestFit="1" customWidth="1"/>
    <col min="3853" max="3853" width="6.28515625" style="1" bestFit="1" customWidth="1"/>
    <col min="3854" max="3854" width="11.140625" style="1" bestFit="1" customWidth="1"/>
    <col min="3855" max="3855" width="6.28515625" style="1" bestFit="1" customWidth="1"/>
    <col min="3856" max="3856" width="10" style="1" bestFit="1" customWidth="1"/>
    <col min="3857" max="3857" width="8.7109375" style="1" bestFit="1" customWidth="1"/>
    <col min="3858" max="3858" width="10.85546875" style="1" bestFit="1" customWidth="1"/>
    <col min="3859" max="4101" width="9.140625" style="1"/>
    <col min="4102" max="4102" width="4.42578125" style="1" customWidth="1"/>
    <col min="4103" max="4103" width="46" style="1" customWidth="1"/>
    <col min="4104" max="4104" width="9.140625" style="1" customWidth="1"/>
    <col min="4105" max="4105" width="6.85546875" style="1" bestFit="1" customWidth="1"/>
    <col min="4106" max="4106" width="11.85546875" style="1" bestFit="1" customWidth="1"/>
    <col min="4107" max="4107" width="6.28515625" style="1" bestFit="1" customWidth="1"/>
    <col min="4108" max="4108" width="10.28515625" style="1" bestFit="1" customWidth="1"/>
    <col min="4109" max="4109" width="6.28515625" style="1" bestFit="1" customWidth="1"/>
    <col min="4110" max="4110" width="11.140625" style="1" bestFit="1" customWidth="1"/>
    <col min="4111" max="4111" width="6.28515625" style="1" bestFit="1" customWidth="1"/>
    <col min="4112" max="4112" width="10" style="1" bestFit="1" customWidth="1"/>
    <col min="4113" max="4113" width="8.7109375" style="1" bestFit="1" customWidth="1"/>
    <col min="4114" max="4114" width="10.85546875" style="1" bestFit="1" customWidth="1"/>
    <col min="4115" max="4357" width="9.140625" style="1"/>
    <col min="4358" max="4358" width="4.42578125" style="1" customWidth="1"/>
    <col min="4359" max="4359" width="46" style="1" customWidth="1"/>
    <col min="4360" max="4360" width="9.140625" style="1" customWidth="1"/>
    <col min="4361" max="4361" width="6.85546875" style="1" bestFit="1" customWidth="1"/>
    <col min="4362" max="4362" width="11.85546875" style="1" bestFit="1" customWidth="1"/>
    <col min="4363" max="4363" width="6.28515625" style="1" bestFit="1" customWidth="1"/>
    <col min="4364" max="4364" width="10.28515625" style="1" bestFit="1" customWidth="1"/>
    <col min="4365" max="4365" width="6.28515625" style="1" bestFit="1" customWidth="1"/>
    <col min="4366" max="4366" width="11.140625" style="1" bestFit="1" customWidth="1"/>
    <col min="4367" max="4367" width="6.28515625" style="1" bestFit="1" customWidth="1"/>
    <col min="4368" max="4368" width="10" style="1" bestFit="1" customWidth="1"/>
    <col min="4369" max="4369" width="8.7109375" style="1" bestFit="1" customWidth="1"/>
    <col min="4370" max="4370" width="10.85546875" style="1" bestFit="1" customWidth="1"/>
    <col min="4371" max="4613" width="9.140625" style="1"/>
    <col min="4614" max="4614" width="4.42578125" style="1" customWidth="1"/>
    <col min="4615" max="4615" width="46" style="1" customWidth="1"/>
    <col min="4616" max="4616" width="9.140625" style="1" customWidth="1"/>
    <col min="4617" max="4617" width="6.85546875" style="1" bestFit="1" customWidth="1"/>
    <col min="4618" max="4618" width="11.85546875" style="1" bestFit="1" customWidth="1"/>
    <col min="4619" max="4619" width="6.28515625" style="1" bestFit="1" customWidth="1"/>
    <col min="4620" max="4620" width="10.28515625" style="1" bestFit="1" customWidth="1"/>
    <col min="4621" max="4621" width="6.28515625" style="1" bestFit="1" customWidth="1"/>
    <col min="4622" max="4622" width="11.140625" style="1" bestFit="1" customWidth="1"/>
    <col min="4623" max="4623" width="6.28515625" style="1" bestFit="1" customWidth="1"/>
    <col min="4624" max="4624" width="10" style="1" bestFit="1" customWidth="1"/>
    <col min="4625" max="4625" width="8.7109375" style="1" bestFit="1" customWidth="1"/>
    <col min="4626" max="4626" width="10.85546875" style="1" bestFit="1" customWidth="1"/>
    <col min="4627" max="4869" width="9.140625" style="1"/>
    <col min="4870" max="4870" width="4.42578125" style="1" customWidth="1"/>
    <col min="4871" max="4871" width="46" style="1" customWidth="1"/>
    <col min="4872" max="4872" width="9.140625" style="1" customWidth="1"/>
    <col min="4873" max="4873" width="6.85546875" style="1" bestFit="1" customWidth="1"/>
    <col min="4874" max="4874" width="11.85546875" style="1" bestFit="1" customWidth="1"/>
    <col min="4875" max="4875" width="6.28515625" style="1" bestFit="1" customWidth="1"/>
    <col min="4876" max="4876" width="10.28515625" style="1" bestFit="1" customWidth="1"/>
    <col min="4877" max="4877" width="6.28515625" style="1" bestFit="1" customWidth="1"/>
    <col min="4878" max="4878" width="11.140625" style="1" bestFit="1" customWidth="1"/>
    <col min="4879" max="4879" width="6.28515625" style="1" bestFit="1" customWidth="1"/>
    <col min="4880" max="4880" width="10" style="1" bestFit="1" customWidth="1"/>
    <col min="4881" max="4881" width="8.7109375" style="1" bestFit="1" customWidth="1"/>
    <col min="4882" max="4882" width="10.85546875" style="1" bestFit="1" customWidth="1"/>
    <col min="4883" max="5125" width="9.140625" style="1"/>
    <col min="5126" max="5126" width="4.42578125" style="1" customWidth="1"/>
    <col min="5127" max="5127" width="46" style="1" customWidth="1"/>
    <col min="5128" max="5128" width="9.140625" style="1" customWidth="1"/>
    <col min="5129" max="5129" width="6.85546875" style="1" bestFit="1" customWidth="1"/>
    <col min="5130" max="5130" width="11.85546875" style="1" bestFit="1" customWidth="1"/>
    <col min="5131" max="5131" width="6.28515625" style="1" bestFit="1" customWidth="1"/>
    <col min="5132" max="5132" width="10.28515625" style="1" bestFit="1" customWidth="1"/>
    <col min="5133" max="5133" width="6.28515625" style="1" bestFit="1" customWidth="1"/>
    <col min="5134" max="5134" width="11.140625" style="1" bestFit="1" customWidth="1"/>
    <col min="5135" max="5135" width="6.28515625" style="1" bestFit="1" customWidth="1"/>
    <col min="5136" max="5136" width="10" style="1" bestFit="1" customWidth="1"/>
    <col min="5137" max="5137" width="8.7109375" style="1" bestFit="1" customWidth="1"/>
    <col min="5138" max="5138" width="10.85546875" style="1" bestFit="1" customWidth="1"/>
    <col min="5139" max="5381" width="9.140625" style="1"/>
    <col min="5382" max="5382" width="4.42578125" style="1" customWidth="1"/>
    <col min="5383" max="5383" width="46" style="1" customWidth="1"/>
    <col min="5384" max="5384" width="9.140625" style="1" customWidth="1"/>
    <col min="5385" max="5385" width="6.85546875" style="1" bestFit="1" customWidth="1"/>
    <col min="5386" max="5386" width="11.85546875" style="1" bestFit="1" customWidth="1"/>
    <col min="5387" max="5387" width="6.28515625" style="1" bestFit="1" customWidth="1"/>
    <col min="5388" max="5388" width="10.28515625" style="1" bestFit="1" customWidth="1"/>
    <col min="5389" max="5389" width="6.28515625" style="1" bestFit="1" customWidth="1"/>
    <col min="5390" max="5390" width="11.140625" style="1" bestFit="1" customWidth="1"/>
    <col min="5391" max="5391" width="6.28515625" style="1" bestFit="1" customWidth="1"/>
    <col min="5392" max="5392" width="10" style="1" bestFit="1" customWidth="1"/>
    <col min="5393" max="5393" width="8.7109375" style="1" bestFit="1" customWidth="1"/>
    <col min="5394" max="5394" width="10.85546875" style="1" bestFit="1" customWidth="1"/>
    <col min="5395" max="5637" width="9.140625" style="1"/>
    <col min="5638" max="5638" width="4.42578125" style="1" customWidth="1"/>
    <col min="5639" max="5639" width="46" style="1" customWidth="1"/>
    <col min="5640" max="5640" width="9.140625" style="1" customWidth="1"/>
    <col min="5641" max="5641" width="6.85546875" style="1" bestFit="1" customWidth="1"/>
    <col min="5642" max="5642" width="11.85546875" style="1" bestFit="1" customWidth="1"/>
    <col min="5643" max="5643" width="6.28515625" style="1" bestFit="1" customWidth="1"/>
    <col min="5644" max="5644" width="10.28515625" style="1" bestFit="1" customWidth="1"/>
    <col min="5645" max="5645" width="6.28515625" style="1" bestFit="1" customWidth="1"/>
    <col min="5646" max="5646" width="11.140625" style="1" bestFit="1" customWidth="1"/>
    <col min="5647" max="5647" width="6.28515625" style="1" bestFit="1" customWidth="1"/>
    <col min="5648" max="5648" width="10" style="1" bestFit="1" customWidth="1"/>
    <col min="5649" max="5649" width="8.7109375" style="1" bestFit="1" customWidth="1"/>
    <col min="5650" max="5650" width="10.85546875" style="1" bestFit="1" customWidth="1"/>
    <col min="5651" max="5893" width="9.140625" style="1"/>
    <col min="5894" max="5894" width="4.42578125" style="1" customWidth="1"/>
    <col min="5895" max="5895" width="46" style="1" customWidth="1"/>
    <col min="5896" max="5896" width="9.140625" style="1" customWidth="1"/>
    <col min="5897" max="5897" width="6.85546875" style="1" bestFit="1" customWidth="1"/>
    <col min="5898" max="5898" width="11.85546875" style="1" bestFit="1" customWidth="1"/>
    <col min="5899" max="5899" width="6.28515625" style="1" bestFit="1" customWidth="1"/>
    <col min="5900" max="5900" width="10.28515625" style="1" bestFit="1" customWidth="1"/>
    <col min="5901" max="5901" width="6.28515625" style="1" bestFit="1" customWidth="1"/>
    <col min="5902" max="5902" width="11.140625" style="1" bestFit="1" customWidth="1"/>
    <col min="5903" max="5903" width="6.28515625" style="1" bestFit="1" customWidth="1"/>
    <col min="5904" max="5904" width="10" style="1" bestFit="1" customWidth="1"/>
    <col min="5905" max="5905" width="8.7109375" style="1" bestFit="1" customWidth="1"/>
    <col min="5906" max="5906" width="10.85546875" style="1" bestFit="1" customWidth="1"/>
    <col min="5907" max="6149" width="9.140625" style="1"/>
    <col min="6150" max="6150" width="4.42578125" style="1" customWidth="1"/>
    <col min="6151" max="6151" width="46" style="1" customWidth="1"/>
    <col min="6152" max="6152" width="9.140625" style="1" customWidth="1"/>
    <col min="6153" max="6153" width="6.85546875" style="1" bestFit="1" customWidth="1"/>
    <col min="6154" max="6154" width="11.85546875" style="1" bestFit="1" customWidth="1"/>
    <col min="6155" max="6155" width="6.28515625" style="1" bestFit="1" customWidth="1"/>
    <col min="6156" max="6156" width="10.28515625" style="1" bestFit="1" customWidth="1"/>
    <col min="6157" max="6157" width="6.28515625" style="1" bestFit="1" customWidth="1"/>
    <col min="6158" max="6158" width="11.140625" style="1" bestFit="1" customWidth="1"/>
    <col min="6159" max="6159" width="6.28515625" style="1" bestFit="1" customWidth="1"/>
    <col min="6160" max="6160" width="10" style="1" bestFit="1" customWidth="1"/>
    <col min="6161" max="6161" width="8.7109375" style="1" bestFit="1" customWidth="1"/>
    <col min="6162" max="6162" width="10.85546875" style="1" bestFit="1" customWidth="1"/>
    <col min="6163" max="6405" width="9.140625" style="1"/>
    <col min="6406" max="6406" width="4.42578125" style="1" customWidth="1"/>
    <col min="6407" max="6407" width="46" style="1" customWidth="1"/>
    <col min="6408" max="6408" width="9.140625" style="1" customWidth="1"/>
    <col min="6409" max="6409" width="6.85546875" style="1" bestFit="1" customWidth="1"/>
    <col min="6410" max="6410" width="11.85546875" style="1" bestFit="1" customWidth="1"/>
    <col min="6411" max="6411" width="6.28515625" style="1" bestFit="1" customWidth="1"/>
    <col min="6412" max="6412" width="10.28515625" style="1" bestFit="1" customWidth="1"/>
    <col min="6413" max="6413" width="6.28515625" style="1" bestFit="1" customWidth="1"/>
    <col min="6414" max="6414" width="11.140625" style="1" bestFit="1" customWidth="1"/>
    <col min="6415" max="6415" width="6.28515625" style="1" bestFit="1" customWidth="1"/>
    <col min="6416" max="6416" width="10" style="1" bestFit="1" customWidth="1"/>
    <col min="6417" max="6417" width="8.7109375" style="1" bestFit="1" customWidth="1"/>
    <col min="6418" max="6418" width="10.85546875" style="1" bestFit="1" customWidth="1"/>
    <col min="6419" max="6661" width="9.140625" style="1"/>
    <col min="6662" max="6662" width="4.42578125" style="1" customWidth="1"/>
    <col min="6663" max="6663" width="46" style="1" customWidth="1"/>
    <col min="6664" max="6664" width="9.140625" style="1" customWidth="1"/>
    <col min="6665" max="6665" width="6.85546875" style="1" bestFit="1" customWidth="1"/>
    <col min="6666" max="6666" width="11.85546875" style="1" bestFit="1" customWidth="1"/>
    <col min="6667" max="6667" width="6.28515625" style="1" bestFit="1" customWidth="1"/>
    <col min="6668" max="6668" width="10.28515625" style="1" bestFit="1" customWidth="1"/>
    <col min="6669" max="6669" width="6.28515625" style="1" bestFit="1" customWidth="1"/>
    <col min="6670" max="6670" width="11.140625" style="1" bestFit="1" customWidth="1"/>
    <col min="6671" max="6671" width="6.28515625" style="1" bestFit="1" customWidth="1"/>
    <col min="6672" max="6672" width="10" style="1" bestFit="1" customWidth="1"/>
    <col min="6673" max="6673" width="8.7109375" style="1" bestFit="1" customWidth="1"/>
    <col min="6674" max="6674" width="10.85546875" style="1" bestFit="1" customWidth="1"/>
    <col min="6675" max="6917" width="9.140625" style="1"/>
    <col min="6918" max="6918" width="4.42578125" style="1" customWidth="1"/>
    <col min="6919" max="6919" width="46" style="1" customWidth="1"/>
    <col min="6920" max="6920" width="9.140625" style="1" customWidth="1"/>
    <col min="6921" max="6921" width="6.85546875" style="1" bestFit="1" customWidth="1"/>
    <col min="6922" max="6922" width="11.85546875" style="1" bestFit="1" customWidth="1"/>
    <col min="6923" max="6923" width="6.28515625" style="1" bestFit="1" customWidth="1"/>
    <col min="6924" max="6924" width="10.28515625" style="1" bestFit="1" customWidth="1"/>
    <col min="6925" max="6925" width="6.28515625" style="1" bestFit="1" customWidth="1"/>
    <col min="6926" max="6926" width="11.140625" style="1" bestFit="1" customWidth="1"/>
    <col min="6927" max="6927" width="6.28515625" style="1" bestFit="1" customWidth="1"/>
    <col min="6928" max="6928" width="10" style="1" bestFit="1" customWidth="1"/>
    <col min="6929" max="6929" width="8.7109375" style="1" bestFit="1" customWidth="1"/>
    <col min="6930" max="6930" width="10.85546875" style="1" bestFit="1" customWidth="1"/>
    <col min="6931" max="7173" width="9.140625" style="1"/>
    <col min="7174" max="7174" width="4.42578125" style="1" customWidth="1"/>
    <col min="7175" max="7175" width="46" style="1" customWidth="1"/>
    <col min="7176" max="7176" width="9.140625" style="1" customWidth="1"/>
    <col min="7177" max="7177" width="6.85546875" style="1" bestFit="1" customWidth="1"/>
    <col min="7178" max="7178" width="11.85546875" style="1" bestFit="1" customWidth="1"/>
    <col min="7179" max="7179" width="6.28515625" style="1" bestFit="1" customWidth="1"/>
    <col min="7180" max="7180" width="10.28515625" style="1" bestFit="1" customWidth="1"/>
    <col min="7181" max="7181" width="6.28515625" style="1" bestFit="1" customWidth="1"/>
    <col min="7182" max="7182" width="11.140625" style="1" bestFit="1" customWidth="1"/>
    <col min="7183" max="7183" width="6.28515625" style="1" bestFit="1" customWidth="1"/>
    <col min="7184" max="7184" width="10" style="1" bestFit="1" customWidth="1"/>
    <col min="7185" max="7185" width="8.7109375" style="1" bestFit="1" customWidth="1"/>
    <col min="7186" max="7186" width="10.85546875" style="1" bestFit="1" customWidth="1"/>
    <col min="7187" max="7429" width="9.140625" style="1"/>
    <col min="7430" max="7430" width="4.42578125" style="1" customWidth="1"/>
    <col min="7431" max="7431" width="46" style="1" customWidth="1"/>
    <col min="7432" max="7432" width="9.140625" style="1" customWidth="1"/>
    <col min="7433" max="7433" width="6.85546875" style="1" bestFit="1" customWidth="1"/>
    <col min="7434" max="7434" width="11.85546875" style="1" bestFit="1" customWidth="1"/>
    <col min="7435" max="7435" width="6.28515625" style="1" bestFit="1" customWidth="1"/>
    <col min="7436" max="7436" width="10.28515625" style="1" bestFit="1" customWidth="1"/>
    <col min="7437" max="7437" width="6.28515625" style="1" bestFit="1" customWidth="1"/>
    <col min="7438" max="7438" width="11.140625" style="1" bestFit="1" customWidth="1"/>
    <col min="7439" max="7439" width="6.28515625" style="1" bestFit="1" customWidth="1"/>
    <col min="7440" max="7440" width="10" style="1" bestFit="1" customWidth="1"/>
    <col min="7441" max="7441" width="8.7109375" style="1" bestFit="1" customWidth="1"/>
    <col min="7442" max="7442" width="10.85546875" style="1" bestFit="1" customWidth="1"/>
    <col min="7443" max="7685" width="9.140625" style="1"/>
    <col min="7686" max="7686" width="4.42578125" style="1" customWidth="1"/>
    <col min="7687" max="7687" width="46" style="1" customWidth="1"/>
    <col min="7688" max="7688" width="9.140625" style="1" customWidth="1"/>
    <col min="7689" max="7689" width="6.85546875" style="1" bestFit="1" customWidth="1"/>
    <col min="7690" max="7690" width="11.85546875" style="1" bestFit="1" customWidth="1"/>
    <col min="7691" max="7691" width="6.28515625" style="1" bestFit="1" customWidth="1"/>
    <col min="7692" max="7692" width="10.28515625" style="1" bestFit="1" customWidth="1"/>
    <col min="7693" max="7693" width="6.28515625" style="1" bestFit="1" customWidth="1"/>
    <col min="7694" max="7694" width="11.140625" style="1" bestFit="1" customWidth="1"/>
    <col min="7695" max="7695" width="6.28515625" style="1" bestFit="1" customWidth="1"/>
    <col min="7696" max="7696" width="10" style="1" bestFit="1" customWidth="1"/>
    <col min="7697" max="7697" width="8.7109375" style="1" bestFit="1" customWidth="1"/>
    <col min="7698" max="7698" width="10.85546875" style="1" bestFit="1" customWidth="1"/>
    <col min="7699" max="7941" width="9.140625" style="1"/>
    <col min="7942" max="7942" width="4.42578125" style="1" customWidth="1"/>
    <col min="7943" max="7943" width="46" style="1" customWidth="1"/>
    <col min="7944" max="7944" width="9.140625" style="1" customWidth="1"/>
    <col min="7945" max="7945" width="6.85546875" style="1" bestFit="1" customWidth="1"/>
    <col min="7946" max="7946" width="11.85546875" style="1" bestFit="1" customWidth="1"/>
    <col min="7947" max="7947" width="6.28515625" style="1" bestFit="1" customWidth="1"/>
    <col min="7948" max="7948" width="10.28515625" style="1" bestFit="1" customWidth="1"/>
    <col min="7949" max="7949" width="6.28515625" style="1" bestFit="1" customWidth="1"/>
    <col min="7950" max="7950" width="11.140625" style="1" bestFit="1" customWidth="1"/>
    <col min="7951" max="7951" width="6.28515625" style="1" bestFit="1" customWidth="1"/>
    <col min="7952" max="7952" width="10" style="1" bestFit="1" customWidth="1"/>
    <col min="7953" max="7953" width="8.7109375" style="1" bestFit="1" customWidth="1"/>
    <col min="7954" max="7954" width="10.85546875" style="1" bestFit="1" customWidth="1"/>
    <col min="7955" max="8197" width="9.140625" style="1"/>
    <col min="8198" max="8198" width="4.42578125" style="1" customWidth="1"/>
    <col min="8199" max="8199" width="46" style="1" customWidth="1"/>
    <col min="8200" max="8200" width="9.140625" style="1" customWidth="1"/>
    <col min="8201" max="8201" width="6.85546875" style="1" bestFit="1" customWidth="1"/>
    <col min="8202" max="8202" width="11.85546875" style="1" bestFit="1" customWidth="1"/>
    <col min="8203" max="8203" width="6.28515625" style="1" bestFit="1" customWidth="1"/>
    <col min="8204" max="8204" width="10.28515625" style="1" bestFit="1" customWidth="1"/>
    <col min="8205" max="8205" width="6.28515625" style="1" bestFit="1" customWidth="1"/>
    <col min="8206" max="8206" width="11.140625" style="1" bestFit="1" customWidth="1"/>
    <col min="8207" max="8207" width="6.28515625" style="1" bestFit="1" customWidth="1"/>
    <col min="8208" max="8208" width="10" style="1" bestFit="1" customWidth="1"/>
    <col min="8209" max="8209" width="8.7109375" style="1" bestFit="1" customWidth="1"/>
    <col min="8210" max="8210" width="10.85546875" style="1" bestFit="1" customWidth="1"/>
    <col min="8211" max="8453" width="9.140625" style="1"/>
    <col min="8454" max="8454" width="4.42578125" style="1" customWidth="1"/>
    <col min="8455" max="8455" width="46" style="1" customWidth="1"/>
    <col min="8456" max="8456" width="9.140625" style="1" customWidth="1"/>
    <col min="8457" max="8457" width="6.85546875" style="1" bestFit="1" customWidth="1"/>
    <col min="8458" max="8458" width="11.85546875" style="1" bestFit="1" customWidth="1"/>
    <col min="8459" max="8459" width="6.28515625" style="1" bestFit="1" customWidth="1"/>
    <col min="8460" max="8460" width="10.28515625" style="1" bestFit="1" customWidth="1"/>
    <col min="8461" max="8461" width="6.28515625" style="1" bestFit="1" customWidth="1"/>
    <col min="8462" max="8462" width="11.140625" style="1" bestFit="1" customWidth="1"/>
    <col min="8463" max="8463" width="6.28515625" style="1" bestFit="1" customWidth="1"/>
    <col min="8464" max="8464" width="10" style="1" bestFit="1" customWidth="1"/>
    <col min="8465" max="8465" width="8.7109375" style="1" bestFit="1" customWidth="1"/>
    <col min="8466" max="8466" width="10.85546875" style="1" bestFit="1" customWidth="1"/>
    <col min="8467" max="8709" width="9.140625" style="1"/>
    <col min="8710" max="8710" width="4.42578125" style="1" customWidth="1"/>
    <col min="8711" max="8711" width="46" style="1" customWidth="1"/>
    <col min="8712" max="8712" width="9.140625" style="1" customWidth="1"/>
    <col min="8713" max="8713" width="6.85546875" style="1" bestFit="1" customWidth="1"/>
    <col min="8714" max="8714" width="11.85546875" style="1" bestFit="1" customWidth="1"/>
    <col min="8715" max="8715" width="6.28515625" style="1" bestFit="1" customWidth="1"/>
    <col min="8716" max="8716" width="10.28515625" style="1" bestFit="1" customWidth="1"/>
    <col min="8717" max="8717" width="6.28515625" style="1" bestFit="1" customWidth="1"/>
    <col min="8718" max="8718" width="11.140625" style="1" bestFit="1" customWidth="1"/>
    <col min="8719" max="8719" width="6.28515625" style="1" bestFit="1" customWidth="1"/>
    <col min="8720" max="8720" width="10" style="1" bestFit="1" customWidth="1"/>
    <col min="8721" max="8721" width="8.7109375" style="1" bestFit="1" customWidth="1"/>
    <col min="8722" max="8722" width="10.85546875" style="1" bestFit="1" customWidth="1"/>
    <col min="8723" max="8965" width="9.140625" style="1"/>
    <col min="8966" max="8966" width="4.42578125" style="1" customWidth="1"/>
    <col min="8967" max="8967" width="46" style="1" customWidth="1"/>
    <col min="8968" max="8968" width="9.140625" style="1" customWidth="1"/>
    <col min="8969" max="8969" width="6.85546875" style="1" bestFit="1" customWidth="1"/>
    <col min="8970" max="8970" width="11.85546875" style="1" bestFit="1" customWidth="1"/>
    <col min="8971" max="8971" width="6.28515625" style="1" bestFit="1" customWidth="1"/>
    <col min="8972" max="8972" width="10.28515625" style="1" bestFit="1" customWidth="1"/>
    <col min="8973" max="8973" width="6.28515625" style="1" bestFit="1" customWidth="1"/>
    <col min="8974" max="8974" width="11.140625" style="1" bestFit="1" customWidth="1"/>
    <col min="8975" max="8975" width="6.28515625" style="1" bestFit="1" customWidth="1"/>
    <col min="8976" max="8976" width="10" style="1" bestFit="1" customWidth="1"/>
    <col min="8977" max="8977" width="8.7109375" style="1" bestFit="1" customWidth="1"/>
    <col min="8978" max="8978" width="10.85546875" style="1" bestFit="1" customWidth="1"/>
    <col min="8979" max="9221" width="9.140625" style="1"/>
    <col min="9222" max="9222" width="4.42578125" style="1" customWidth="1"/>
    <col min="9223" max="9223" width="46" style="1" customWidth="1"/>
    <col min="9224" max="9224" width="9.140625" style="1" customWidth="1"/>
    <col min="9225" max="9225" width="6.85546875" style="1" bestFit="1" customWidth="1"/>
    <col min="9226" max="9226" width="11.85546875" style="1" bestFit="1" customWidth="1"/>
    <col min="9227" max="9227" width="6.28515625" style="1" bestFit="1" customWidth="1"/>
    <col min="9228" max="9228" width="10.28515625" style="1" bestFit="1" customWidth="1"/>
    <col min="9229" max="9229" width="6.28515625" style="1" bestFit="1" customWidth="1"/>
    <col min="9230" max="9230" width="11.140625" style="1" bestFit="1" customWidth="1"/>
    <col min="9231" max="9231" width="6.28515625" style="1" bestFit="1" customWidth="1"/>
    <col min="9232" max="9232" width="10" style="1" bestFit="1" customWidth="1"/>
    <col min="9233" max="9233" width="8.7109375" style="1" bestFit="1" customWidth="1"/>
    <col min="9234" max="9234" width="10.85546875" style="1" bestFit="1" customWidth="1"/>
    <col min="9235" max="9477" width="9.140625" style="1"/>
    <col min="9478" max="9478" width="4.42578125" style="1" customWidth="1"/>
    <col min="9479" max="9479" width="46" style="1" customWidth="1"/>
    <col min="9480" max="9480" width="9.140625" style="1" customWidth="1"/>
    <col min="9481" max="9481" width="6.85546875" style="1" bestFit="1" customWidth="1"/>
    <col min="9482" max="9482" width="11.85546875" style="1" bestFit="1" customWidth="1"/>
    <col min="9483" max="9483" width="6.28515625" style="1" bestFit="1" customWidth="1"/>
    <col min="9484" max="9484" width="10.28515625" style="1" bestFit="1" customWidth="1"/>
    <col min="9485" max="9485" width="6.28515625" style="1" bestFit="1" customWidth="1"/>
    <col min="9486" max="9486" width="11.140625" style="1" bestFit="1" customWidth="1"/>
    <col min="9487" max="9487" width="6.28515625" style="1" bestFit="1" customWidth="1"/>
    <col min="9488" max="9488" width="10" style="1" bestFit="1" customWidth="1"/>
    <col min="9489" max="9489" width="8.7109375" style="1" bestFit="1" customWidth="1"/>
    <col min="9490" max="9490" width="10.85546875" style="1" bestFit="1" customWidth="1"/>
    <col min="9491" max="9733" width="9.140625" style="1"/>
    <col min="9734" max="9734" width="4.42578125" style="1" customWidth="1"/>
    <col min="9735" max="9735" width="46" style="1" customWidth="1"/>
    <col min="9736" max="9736" width="9.140625" style="1" customWidth="1"/>
    <col min="9737" max="9737" width="6.85546875" style="1" bestFit="1" customWidth="1"/>
    <col min="9738" max="9738" width="11.85546875" style="1" bestFit="1" customWidth="1"/>
    <col min="9739" max="9739" width="6.28515625" style="1" bestFit="1" customWidth="1"/>
    <col min="9740" max="9740" width="10.28515625" style="1" bestFit="1" customWidth="1"/>
    <col min="9741" max="9741" width="6.28515625" style="1" bestFit="1" customWidth="1"/>
    <col min="9742" max="9742" width="11.140625" style="1" bestFit="1" customWidth="1"/>
    <col min="9743" max="9743" width="6.28515625" style="1" bestFit="1" customWidth="1"/>
    <col min="9744" max="9744" width="10" style="1" bestFit="1" customWidth="1"/>
    <col min="9745" max="9745" width="8.7109375" style="1" bestFit="1" customWidth="1"/>
    <col min="9746" max="9746" width="10.85546875" style="1" bestFit="1" customWidth="1"/>
    <col min="9747" max="9989" width="9.140625" style="1"/>
    <col min="9990" max="9990" width="4.42578125" style="1" customWidth="1"/>
    <col min="9991" max="9991" width="46" style="1" customWidth="1"/>
    <col min="9992" max="9992" width="9.140625" style="1" customWidth="1"/>
    <col min="9993" max="9993" width="6.85546875" style="1" bestFit="1" customWidth="1"/>
    <col min="9994" max="9994" width="11.85546875" style="1" bestFit="1" customWidth="1"/>
    <col min="9995" max="9995" width="6.28515625" style="1" bestFit="1" customWidth="1"/>
    <col min="9996" max="9996" width="10.28515625" style="1" bestFit="1" customWidth="1"/>
    <col min="9997" max="9997" width="6.28515625" style="1" bestFit="1" customWidth="1"/>
    <col min="9998" max="9998" width="11.140625" style="1" bestFit="1" customWidth="1"/>
    <col min="9999" max="9999" width="6.28515625" style="1" bestFit="1" customWidth="1"/>
    <col min="10000" max="10000" width="10" style="1" bestFit="1" customWidth="1"/>
    <col min="10001" max="10001" width="8.7109375" style="1" bestFit="1" customWidth="1"/>
    <col min="10002" max="10002" width="10.85546875" style="1" bestFit="1" customWidth="1"/>
    <col min="10003" max="10245" width="9.140625" style="1"/>
    <col min="10246" max="10246" width="4.42578125" style="1" customWidth="1"/>
    <col min="10247" max="10247" width="46" style="1" customWidth="1"/>
    <col min="10248" max="10248" width="9.140625" style="1" customWidth="1"/>
    <col min="10249" max="10249" width="6.85546875" style="1" bestFit="1" customWidth="1"/>
    <col min="10250" max="10250" width="11.85546875" style="1" bestFit="1" customWidth="1"/>
    <col min="10251" max="10251" width="6.28515625" style="1" bestFit="1" customWidth="1"/>
    <col min="10252" max="10252" width="10.28515625" style="1" bestFit="1" customWidth="1"/>
    <col min="10253" max="10253" width="6.28515625" style="1" bestFit="1" customWidth="1"/>
    <col min="10254" max="10254" width="11.140625" style="1" bestFit="1" customWidth="1"/>
    <col min="10255" max="10255" width="6.28515625" style="1" bestFit="1" customWidth="1"/>
    <col min="10256" max="10256" width="10" style="1" bestFit="1" customWidth="1"/>
    <col min="10257" max="10257" width="8.7109375" style="1" bestFit="1" customWidth="1"/>
    <col min="10258" max="10258" width="10.85546875" style="1" bestFit="1" customWidth="1"/>
    <col min="10259" max="10501" width="9.140625" style="1"/>
    <col min="10502" max="10502" width="4.42578125" style="1" customWidth="1"/>
    <col min="10503" max="10503" width="46" style="1" customWidth="1"/>
    <col min="10504" max="10504" width="9.140625" style="1" customWidth="1"/>
    <col min="10505" max="10505" width="6.85546875" style="1" bestFit="1" customWidth="1"/>
    <col min="10506" max="10506" width="11.85546875" style="1" bestFit="1" customWidth="1"/>
    <col min="10507" max="10507" width="6.28515625" style="1" bestFit="1" customWidth="1"/>
    <col min="10508" max="10508" width="10.28515625" style="1" bestFit="1" customWidth="1"/>
    <col min="10509" max="10509" width="6.28515625" style="1" bestFit="1" customWidth="1"/>
    <col min="10510" max="10510" width="11.140625" style="1" bestFit="1" customWidth="1"/>
    <col min="10511" max="10511" width="6.28515625" style="1" bestFit="1" customWidth="1"/>
    <col min="10512" max="10512" width="10" style="1" bestFit="1" customWidth="1"/>
    <col min="10513" max="10513" width="8.7109375" style="1" bestFit="1" customWidth="1"/>
    <col min="10514" max="10514" width="10.85546875" style="1" bestFit="1" customWidth="1"/>
    <col min="10515" max="10757" width="9.140625" style="1"/>
    <col min="10758" max="10758" width="4.42578125" style="1" customWidth="1"/>
    <col min="10759" max="10759" width="46" style="1" customWidth="1"/>
    <col min="10760" max="10760" width="9.140625" style="1" customWidth="1"/>
    <col min="10761" max="10761" width="6.85546875" style="1" bestFit="1" customWidth="1"/>
    <col min="10762" max="10762" width="11.85546875" style="1" bestFit="1" customWidth="1"/>
    <col min="10763" max="10763" width="6.28515625" style="1" bestFit="1" customWidth="1"/>
    <col min="10764" max="10764" width="10.28515625" style="1" bestFit="1" customWidth="1"/>
    <col min="10765" max="10765" width="6.28515625" style="1" bestFit="1" customWidth="1"/>
    <col min="10766" max="10766" width="11.140625" style="1" bestFit="1" customWidth="1"/>
    <col min="10767" max="10767" width="6.28515625" style="1" bestFit="1" customWidth="1"/>
    <col min="10768" max="10768" width="10" style="1" bestFit="1" customWidth="1"/>
    <col min="10769" max="10769" width="8.7109375" style="1" bestFit="1" customWidth="1"/>
    <col min="10770" max="10770" width="10.85546875" style="1" bestFit="1" customWidth="1"/>
    <col min="10771" max="11013" width="9.140625" style="1"/>
    <col min="11014" max="11014" width="4.42578125" style="1" customWidth="1"/>
    <col min="11015" max="11015" width="46" style="1" customWidth="1"/>
    <col min="11016" max="11016" width="9.140625" style="1" customWidth="1"/>
    <col min="11017" max="11017" width="6.85546875" style="1" bestFit="1" customWidth="1"/>
    <col min="11018" max="11018" width="11.85546875" style="1" bestFit="1" customWidth="1"/>
    <col min="11019" max="11019" width="6.28515625" style="1" bestFit="1" customWidth="1"/>
    <col min="11020" max="11020" width="10.28515625" style="1" bestFit="1" customWidth="1"/>
    <col min="11021" max="11021" width="6.28515625" style="1" bestFit="1" customWidth="1"/>
    <col min="11022" max="11022" width="11.140625" style="1" bestFit="1" customWidth="1"/>
    <col min="11023" max="11023" width="6.28515625" style="1" bestFit="1" customWidth="1"/>
    <col min="11024" max="11024" width="10" style="1" bestFit="1" customWidth="1"/>
    <col min="11025" max="11025" width="8.7109375" style="1" bestFit="1" customWidth="1"/>
    <col min="11026" max="11026" width="10.85546875" style="1" bestFit="1" customWidth="1"/>
    <col min="11027" max="11269" width="9.140625" style="1"/>
    <col min="11270" max="11270" width="4.42578125" style="1" customWidth="1"/>
    <col min="11271" max="11271" width="46" style="1" customWidth="1"/>
    <col min="11272" max="11272" width="9.140625" style="1" customWidth="1"/>
    <col min="11273" max="11273" width="6.85546875" style="1" bestFit="1" customWidth="1"/>
    <col min="11274" max="11274" width="11.85546875" style="1" bestFit="1" customWidth="1"/>
    <col min="11275" max="11275" width="6.28515625" style="1" bestFit="1" customWidth="1"/>
    <col min="11276" max="11276" width="10.28515625" style="1" bestFit="1" customWidth="1"/>
    <col min="11277" max="11277" width="6.28515625" style="1" bestFit="1" customWidth="1"/>
    <col min="11278" max="11278" width="11.140625" style="1" bestFit="1" customWidth="1"/>
    <col min="11279" max="11279" width="6.28515625" style="1" bestFit="1" customWidth="1"/>
    <col min="11280" max="11280" width="10" style="1" bestFit="1" customWidth="1"/>
    <col min="11281" max="11281" width="8.7109375" style="1" bestFit="1" customWidth="1"/>
    <col min="11282" max="11282" width="10.85546875" style="1" bestFit="1" customWidth="1"/>
    <col min="11283" max="11525" width="9.140625" style="1"/>
    <col min="11526" max="11526" width="4.42578125" style="1" customWidth="1"/>
    <col min="11527" max="11527" width="46" style="1" customWidth="1"/>
    <col min="11528" max="11528" width="9.140625" style="1" customWidth="1"/>
    <col min="11529" max="11529" width="6.85546875" style="1" bestFit="1" customWidth="1"/>
    <col min="11530" max="11530" width="11.85546875" style="1" bestFit="1" customWidth="1"/>
    <col min="11531" max="11531" width="6.28515625" style="1" bestFit="1" customWidth="1"/>
    <col min="11532" max="11532" width="10.28515625" style="1" bestFit="1" customWidth="1"/>
    <col min="11533" max="11533" width="6.28515625" style="1" bestFit="1" customWidth="1"/>
    <col min="11534" max="11534" width="11.140625" style="1" bestFit="1" customWidth="1"/>
    <col min="11535" max="11535" width="6.28515625" style="1" bestFit="1" customWidth="1"/>
    <col min="11536" max="11536" width="10" style="1" bestFit="1" customWidth="1"/>
    <col min="11537" max="11537" width="8.7109375" style="1" bestFit="1" customWidth="1"/>
    <col min="11538" max="11538" width="10.85546875" style="1" bestFit="1" customWidth="1"/>
    <col min="11539" max="11781" width="9.140625" style="1"/>
    <col min="11782" max="11782" width="4.42578125" style="1" customWidth="1"/>
    <col min="11783" max="11783" width="46" style="1" customWidth="1"/>
    <col min="11784" max="11784" width="9.140625" style="1" customWidth="1"/>
    <col min="11785" max="11785" width="6.85546875" style="1" bestFit="1" customWidth="1"/>
    <col min="11786" max="11786" width="11.85546875" style="1" bestFit="1" customWidth="1"/>
    <col min="11787" max="11787" width="6.28515625" style="1" bestFit="1" customWidth="1"/>
    <col min="11788" max="11788" width="10.28515625" style="1" bestFit="1" customWidth="1"/>
    <col min="11789" max="11789" width="6.28515625" style="1" bestFit="1" customWidth="1"/>
    <col min="11790" max="11790" width="11.140625" style="1" bestFit="1" customWidth="1"/>
    <col min="11791" max="11791" width="6.28515625" style="1" bestFit="1" customWidth="1"/>
    <col min="11792" max="11792" width="10" style="1" bestFit="1" customWidth="1"/>
    <col min="11793" max="11793" width="8.7109375" style="1" bestFit="1" customWidth="1"/>
    <col min="11794" max="11794" width="10.85546875" style="1" bestFit="1" customWidth="1"/>
    <col min="11795" max="12037" width="9.140625" style="1"/>
    <col min="12038" max="12038" width="4.42578125" style="1" customWidth="1"/>
    <col min="12039" max="12039" width="46" style="1" customWidth="1"/>
    <col min="12040" max="12040" width="9.140625" style="1" customWidth="1"/>
    <col min="12041" max="12041" width="6.85546875" style="1" bestFit="1" customWidth="1"/>
    <col min="12042" max="12042" width="11.85546875" style="1" bestFit="1" customWidth="1"/>
    <col min="12043" max="12043" width="6.28515625" style="1" bestFit="1" customWidth="1"/>
    <col min="12044" max="12044" width="10.28515625" style="1" bestFit="1" customWidth="1"/>
    <col min="12045" max="12045" width="6.28515625" style="1" bestFit="1" customWidth="1"/>
    <col min="12046" max="12046" width="11.140625" style="1" bestFit="1" customWidth="1"/>
    <col min="12047" max="12047" width="6.28515625" style="1" bestFit="1" customWidth="1"/>
    <col min="12048" max="12048" width="10" style="1" bestFit="1" customWidth="1"/>
    <col min="12049" max="12049" width="8.7109375" style="1" bestFit="1" customWidth="1"/>
    <col min="12050" max="12050" width="10.85546875" style="1" bestFit="1" customWidth="1"/>
    <col min="12051" max="12293" width="9.140625" style="1"/>
    <col min="12294" max="12294" width="4.42578125" style="1" customWidth="1"/>
    <col min="12295" max="12295" width="46" style="1" customWidth="1"/>
    <col min="12296" max="12296" width="9.140625" style="1" customWidth="1"/>
    <col min="12297" max="12297" width="6.85546875" style="1" bestFit="1" customWidth="1"/>
    <col min="12298" max="12298" width="11.85546875" style="1" bestFit="1" customWidth="1"/>
    <col min="12299" max="12299" width="6.28515625" style="1" bestFit="1" customWidth="1"/>
    <col min="12300" max="12300" width="10.28515625" style="1" bestFit="1" customWidth="1"/>
    <col min="12301" max="12301" width="6.28515625" style="1" bestFit="1" customWidth="1"/>
    <col min="12302" max="12302" width="11.140625" style="1" bestFit="1" customWidth="1"/>
    <col min="12303" max="12303" width="6.28515625" style="1" bestFit="1" customWidth="1"/>
    <col min="12304" max="12304" width="10" style="1" bestFit="1" customWidth="1"/>
    <col min="12305" max="12305" width="8.7109375" style="1" bestFit="1" customWidth="1"/>
    <col min="12306" max="12306" width="10.85546875" style="1" bestFit="1" customWidth="1"/>
    <col min="12307" max="12549" width="9.140625" style="1"/>
    <col min="12550" max="12550" width="4.42578125" style="1" customWidth="1"/>
    <col min="12551" max="12551" width="46" style="1" customWidth="1"/>
    <col min="12552" max="12552" width="9.140625" style="1" customWidth="1"/>
    <col min="12553" max="12553" width="6.85546875" style="1" bestFit="1" customWidth="1"/>
    <col min="12554" max="12554" width="11.85546875" style="1" bestFit="1" customWidth="1"/>
    <col min="12555" max="12555" width="6.28515625" style="1" bestFit="1" customWidth="1"/>
    <col min="12556" max="12556" width="10.28515625" style="1" bestFit="1" customWidth="1"/>
    <col min="12557" max="12557" width="6.28515625" style="1" bestFit="1" customWidth="1"/>
    <col min="12558" max="12558" width="11.140625" style="1" bestFit="1" customWidth="1"/>
    <col min="12559" max="12559" width="6.28515625" style="1" bestFit="1" customWidth="1"/>
    <col min="12560" max="12560" width="10" style="1" bestFit="1" customWidth="1"/>
    <col min="12561" max="12561" width="8.7109375" style="1" bestFit="1" customWidth="1"/>
    <col min="12562" max="12562" width="10.85546875" style="1" bestFit="1" customWidth="1"/>
    <col min="12563" max="12805" width="9.140625" style="1"/>
    <col min="12806" max="12806" width="4.42578125" style="1" customWidth="1"/>
    <col min="12807" max="12807" width="46" style="1" customWidth="1"/>
    <col min="12808" max="12808" width="9.140625" style="1" customWidth="1"/>
    <col min="12809" max="12809" width="6.85546875" style="1" bestFit="1" customWidth="1"/>
    <col min="12810" max="12810" width="11.85546875" style="1" bestFit="1" customWidth="1"/>
    <col min="12811" max="12811" width="6.28515625" style="1" bestFit="1" customWidth="1"/>
    <col min="12812" max="12812" width="10.28515625" style="1" bestFit="1" customWidth="1"/>
    <col min="12813" max="12813" width="6.28515625" style="1" bestFit="1" customWidth="1"/>
    <col min="12814" max="12814" width="11.140625" style="1" bestFit="1" customWidth="1"/>
    <col min="12815" max="12815" width="6.28515625" style="1" bestFit="1" customWidth="1"/>
    <col min="12816" max="12816" width="10" style="1" bestFit="1" customWidth="1"/>
    <col min="12817" max="12817" width="8.7109375" style="1" bestFit="1" customWidth="1"/>
    <col min="12818" max="12818" width="10.85546875" style="1" bestFit="1" customWidth="1"/>
    <col min="12819" max="13061" width="9.140625" style="1"/>
    <col min="13062" max="13062" width="4.42578125" style="1" customWidth="1"/>
    <col min="13063" max="13063" width="46" style="1" customWidth="1"/>
    <col min="13064" max="13064" width="9.140625" style="1" customWidth="1"/>
    <col min="13065" max="13065" width="6.85546875" style="1" bestFit="1" customWidth="1"/>
    <col min="13066" max="13066" width="11.85546875" style="1" bestFit="1" customWidth="1"/>
    <col min="13067" max="13067" width="6.28515625" style="1" bestFit="1" customWidth="1"/>
    <col min="13068" max="13068" width="10.28515625" style="1" bestFit="1" customWidth="1"/>
    <col min="13069" max="13069" width="6.28515625" style="1" bestFit="1" customWidth="1"/>
    <col min="13070" max="13070" width="11.140625" style="1" bestFit="1" customWidth="1"/>
    <col min="13071" max="13071" width="6.28515625" style="1" bestFit="1" customWidth="1"/>
    <col min="13072" max="13072" width="10" style="1" bestFit="1" customWidth="1"/>
    <col min="13073" max="13073" width="8.7109375" style="1" bestFit="1" customWidth="1"/>
    <col min="13074" max="13074" width="10.85546875" style="1" bestFit="1" customWidth="1"/>
    <col min="13075" max="13317" width="9.140625" style="1"/>
    <col min="13318" max="13318" width="4.42578125" style="1" customWidth="1"/>
    <col min="13319" max="13319" width="46" style="1" customWidth="1"/>
    <col min="13320" max="13320" width="9.140625" style="1" customWidth="1"/>
    <col min="13321" max="13321" width="6.85546875" style="1" bestFit="1" customWidth="1"/>
    <col min="13322" max="13322" width="11.85546875" style="1" bestFit="1" customWidth="1"/>
    <col min="13323" max="13323" width="6.28515625" style="1" bestFit="1" customWidth="1"/>
    <col min="13324" max="13324" width="10.28515625" style="1" bestFit="1" customWidth="1"/>
    <col min="13325" max="13325" width="6.28515625" style="1" bestFit="1" customWidth="1"/>
    <col min="13326" max="13326" width="11.140625" style="1" bestFit="1" customWidth="1"/>
    <col min="13327" max="13327" width="6.28515625" style="1" bestFit="1" customWidth="1"/>
    <col min="13328" max="13328" width="10" style="1" bestFit="1" customWidth="1"/>
    <col min="13329" max="13329" width="8.7109375" style="1" bestFit="1" customWidth="1"/>
    <col min="13330" max="13330" width="10.85546875" style="1" bestFit="1" customWidth="1"/>
    <col min="13331" max="13573" width="9.140625" style="1"/>
    <col min="13574" max="13574" width="4.42578125" style="1" customWidth="1"/>
    <col min="13575" max="13575" width="46" style="1" customWidth="1"/>
    <col min="13576" max="13576" width="9.140625" style="1" customWidth="1"/>
    <col min="13577" max="13577" width="6.85546875" style="1" bestFit="1" customWidth="1"/>
    <col min="13578" max="13578" width="11.85546875" style="1" bestFit="1" customWidth="1"/>
    <col min="13579" max="13579" width="6.28515625" style="1" bestFit="1" customWidth="1"/>
    <col min="13580" max="13580" width="10.28515625" style="1" bestFit="1" customWidth="1"/>
    <col min="13581" max="13581" width="6.28515625" style="1" bestFit="1" customWidth="1"/>
    <col min="13582" max="13582" width="11.140625" style="1" bestFit="1" customWidth="1"/>
    <col min="13583" max="13583" width="6.28515625" style="1" bestFit="1" customWidth="1"/>
    <col min="13584" max="13584" width="10" style="1" bestFit="1" customWidth="1"/>
    <col min="13585" max="13585" width="8.7109375" style="1" bestFit="1" customWidth="1"/>
    <col min="13586" max="13586" width="10.85546875" style="1" bestFit="1" customWidth="1"/>
    <col min="13587" max="13829" width="9.140625" style="1"/>
    <col min="13830" max="13830" width="4.42578125" style="1" customWidth="1"/>
    <col min="13831" max="13831" width="46" style="1" customWidth="1"/>
    <col min="13832" max="13832" width="9.140625" style="1" customWidth="1"/>
    <col min="13833" max="13833" width="6.85546875" style="1" bestFit="1" customWidth="1"/>
    <col min="13834" max="13834" width="11.85546875" style="1" bestFit="1" customWidth="1"/>
    <col min="13835" max="13835" width="6.28515625" style="1" bestFit="1" customWidth="1"/>
    <col min="13836" max="13836" width="10.28515625" style="1" bestFit="1" customWidth="1"/>
    <col min="13837" max="13837" width="6.28515625" style="1" bestFit="1" customWidth="1"/>
    <col min="13838" max="13838" width="11.140625" style="1" bestFit="1" customWidth="1"/>
    <col min="13839" max="13839" width="6.28515625" style="1" bestFit="1" customWidth="1"/>
    <col min="13840" max="13840" width="10" style="1" bestFit="1" customWidth="1"/>
    <col min="13841" max="13841" width="8.7109375" style="1" bestFit="1" customWidth="1"/>
    <col min="13842" max="13842" width="10.85546875" style="1" bestFit="1" customWidth="1"/>
    <col min="13843" max="14085" width="9.140625" style="1"/>
    <col min="14086" max="14086" width="4.42578125" style="1" customWidth="1"/>
    <col min="14087" max="14087" width="46" style="1" customWidth="1"/>
    <col min="14088" max="14088" width="9.140625" style="1" customWidth="1"/>
    <col min="14089" max="14089" width="6.85546875" style="1" bestFit="1" customWidth="1"/>
    <col min="14090" max="14090" width="11.85546875" style="1" bestFit="1" customWidth="1"/>
    <col min="14091" max="14091" width="6.28515625" style="1" bestFit="1" customWidth="1"/>
    <col min="14092" max="14092" width="10.28515625" style="1" bestFit="1" customWidth="1"/>
    <col min="14093" max="14093" width="6.28515625" style="1" bestFit="1" customWidth="1"/>
    <col min="14094" max="14094" width="11.140625" style="1" bestFit="1" customWidth="1"/>
    <col min="14095" max="14095" width="6.28515625" style="1" bestFit="1" customWidth="1"/>
    <col min="14096" max="14096" width="10" style="1" bestFit="1" customWidth="1"/>
    <col min="14097" max="14097" width="8.7109375" style="1" bestFit="1" customWidth="1"/>
    <col min="14098" max="14098" width="10.85546875" style="1" bestFit="1" customWidth="1"/>
    <col min="14099" max="14341" width="9.140625" style="1"/>
    <col min="14342" max="14342" width="4.42578125" style="1" customWidth="1"/>
    <col min="14343" max="14343" width="46" style="1" customWidth="1"/>
    <col min="14344" max="14344" width="9.140625" style="1" customWidth="1"/>
    <col min="14345" max="14345" width="6.85546875" style="1" bestFit="1" customWidth="1"/>
    <col min="14346" max="14346" width="11.85546875" style="1" bestFit="1" customWidth="1"/>
    <col min="14347" max="14347" width="6.28515625" style="1" bestFit="1" customWidth="1"/>
    <col min="14348" max="14348" width="10.28515625" style="1" bestFit="1" customWidth="1"/>
    <col min="14349" max="14349" width="6.28515625" style="1" bestFit="1" customWidth="1"/>
    <col min="14350" max="14350" width="11.140625" style="1" bestFit="1" customWidth="1"/>
    <col min="14351" max="14351" width="6.28515625" style="1" bestFit="1" customWidth="1"/>
    <col min="14352" max="14352" width="10" style="1" bestFit="1" customWidth="1"/>
    <col min="14353" max="14353" width="8.7109375" style="1" bestFit="1" customWidth="1"/>
    <col min="14354" max="14354" width="10.85546875" style="1" bestFit="1" customWidth="1"/>
    <col min="14355" max="14597" width="9.140625" style="1"/>
    <col min="14598" max="14598" width="4.42578125" style="1" customWidth="1"/>
    <col min="14599" max="14599" width="46" style="1" customWidth="1"/>
    <col min="14600" max="14600" width="9.140625" style="1" customWidth="1"/>
    <col min="14601" max="14601" width="6.85546875" style="1" bestFit="1" customWidth="1"/>
    <col min="14602" max="14602" width="11.85546875" style="1" bestFit="1" customWidth="1"/>
    <col min="14603" max="14603" width="6.28515625" style="1" bestFit="1" customWidth="1"/>
    <col min="14604" max="14604" width="10.28515625" style="1" bestFit="1" customWidth="1"/>
    <col min="14605" max="14605" width="6.28515625" style="1" bestFit="1" customWidth="1"/>
    <col min="14606" max="14606" width="11.140625" style="1" bestFit="1" customWidth="1"/>
    <col min="14607" max="14607" width="6.28515625" style="1" bestFit="1" customWidth="1"/>
    <col min="14608" max="14608" width="10" style="1" bestFit="1" customWidth="1"/>
    <col min="14609" max="14609" width="8.7109375" style="1" bestFit="1" customWidth="1"/>
    <col min="14610" max="14610" width="10.85546875" style="1" bestFit="1" customWidth="1"/>
    <col min="14611" max="14853" width="9.140625" style="1"/>
    <col min="14854" max="14854" width="4.42578125" style="1" customWidth="1"/>
    <col min="14855" max="14855" width="46" style="1" customWidth="1"/>
    <col min="14856" max="14856" width="9.140625" style="1" customWidth="1"/>
    <col min="14857" max="14857" width="6.85546875" style="1" bestFit="1" customWidth="1"/>
    <col min="14858" max="14858" width="11.85546875" style="1" bestFit="1" customWidth="1"/>
    <col min="14859" max="14859" width="6.28515625" style="1" bestFit="1" customWidth="1"/>
    <col min="14860" max="14860" width="10.28515625" style="1" bestFit="1" customWidth="1"/>
    <col min="14861" max="14861" width="6.28515625" style="1" bestFit="1" customWidth="1"/>
    <col min="14862" max="14862" width="11.140625" style="1" bestFit="1" customWidth="1"/>
    <col min="14863" max="14863" width="6.28515625" style="1" bestFit="1" customWidth="1"/>
    <col min="14864" max="14864" width="10" style="1" bestFit="1" customWidth="1"/>
    <col min="14865" max="14865" width="8.7109375" style="1" bestFit="1" customWidth="1"/>
    <col min="14866" max="14866" width="10.85546875" style="1" bestFit="1" customWidth="1"/>
    <col min="14867" max="15109" width="9.140625" style="1"/>
    <col min="15110" max="15110" width="4.42578125" style="1" customWidth="1"/>
    <col min="15111" max="15111" width="46" style="1" customWidth="1"/>
    <col min="15112" max="15112" width="9.140625" style="1" customWidth="1"/>
    <col min="15113" max="15113" width="6.85546875" style="1" bestFit="1" customWidth="1"/>
    <col min="15114" max="15114" width="11.85546875" style="1" bestFit="1" customWidth="1"/>
    <col min="15115" max="15115" width="6.28515625" style="1" bestFit="1" customWidth="1"/>
    <col min="15116" max="15116" width="10.28515625" style="1" bestFit="1" customWidth="1"/>
    <col min="15117" max="15117" width="6.28515625" style="1" bestFit="1" customWidth="1"/>
    <col min="15118" max="15118" width="11.140625" style="1" bestFit="1" customWidth="1"/>
    <col min="15119" max="15119" width="6.28515625" style="1" bestFit="1" customWidth="1"/>
    <col min="15120" max="15120" width="10" style="1" bestFit="1" customWidth="1"/>
    <col min="15121" max="15121" width="8.7109375" style="1" bestFit="1" customWidth="1"/>
    <col min="15122" max="15122" width="10.85546875" style="1" bestFit="1" customWidth="1"/>
    <col min="15123" max="15365" width="9.140625" style="1"/>
    <col min="15366" max="15366" width="4.42578125" style="1" customWidth="1"/>
    <col min="15367" max="15367" width="46" style="1" customWidth="1"/>
    <col min="15368" max="15368" width="9.140625" style="1" customWidth="1"/>
    <col min="15369" max="15369" width="6.85546875" style="1" bestFit="1" customWidth="1"/>
    <col min="15370" max="15370" width="11.85546875" style="1" bestFit="1" customWidth="1"/>
    <col min="15371" max="15371" width="6.28515625" style="1" bestFit="1" customWidth="1"/>
    <col min="15372" max="15372" width="10.28515625" style="1" bestFit="1" customWidth="1"/>
    <col min="15373" max="15373" width="6.28515625" style="1" bestFit="1" customWidth="1"/>
    <col min="15374" max="15374" width="11.140625" style="1" bestFit="1" customWidth="1"/>
    <col min="15375" max="15375" width="6.28515625" style="1" bestFit="1" customWidth="1"/>
    <col min="15376" max="15376" width="10" style="1" bestFit="1" customWidth="1"/>
    <col min="15377" max="15377" width="8.7109375" style="1" bestFit="1" customWidth="1"/>
    <col min="15378" max="15378" width="10.85546875" style="1" bestFit="1" customWidth="1"/>
    <col min="15379" max="15621" width="9.140625" style="1"/>
    <col min="15622" max="15622" width="4.42578125" style="1" customWidth="1"/>
    <col min="15623" max="15623" width="46" style="1" customWidth="1"/>
    <col min="15624" max="15624" width="9.140625" style="1" customWidth="1"/>
    <col min="15625" max="15625" width="6.85546875" style="1" bestFit="1" customWidth="1"/>
    <col min="15626" max="15626" width="11.85546875" style="1" bestFit="1" customWidth="1"/>
    <col min="15627" max="15627" width="6.28515625" style="1" bestFit="1" customWidth="1"/>
    <col min="15628" max="15628" width="10.28515625" style="1" bestFit="1" customWidth="1"/>
    <col min="15629" max="15629" width="6.28515625" style="1" bestFit="1" customWidth="1"/>
    <col min="15630" max="15630" width="11.140625" style="1" bestFit="1" customWidth="1"/>
    <col min="15631" max="15631" width="6.28515625" style="1" bestFit="1" customWidth="1"/>
    <col min="15632" max="15632" width="10" style="1" bestFit="1" customWidth="1"/>
    <col min="15633" max="15633" width="8.7109375" style="1" bestFit="1" customWidth="1"/>
    <col min="15634" max="15634" width="10.85546875" style="1" bestFit="1" customWidth="1"/>
    <col min="15635" max="15877" width="9.140625" style="1"/>
    <col min="15878" max="15878" width="4.42578125" style="1" customWidth="1"/>
    <col min="15879" max="15879" width="46" style="1" customWidth="1"/>
    <col min="15880" max="15880" width="9.140625" style="1" customWidth="1"/>
    <col min="15881" max="15881" width="6.85546875" style="1" bestFit="1" customWidth="1"/>
    <col min="15882" max="15882" width="11.85546875" style="1" bestFit="1" customWidth="1"/>
    <col min="15883" max="15883" width="6.28515625" style="1" bestFit="1" customWidth="1"/>
    <col min="15884" max="15884" width="10.28515625" style="1" bestFit="1" customWidth="1"/>
    <col min="15885" max="15885" width="6.28515625" style="1" bestFit="1" customWidth="1"/>
    <col min="15886" max="15886" width="11.140625" style="1" bestFit="1" customWidth="1"/>
    <col min="15887" max="15887" width="6.28515625" style="1" bestFit="1" customWidth="1"/>
    <col min="15888" max="15888" width="10" style="1" bestFit="1" customWidth="1"/>
    <col min="15889" max="15889" width="8.7109375" style="1" bestFit="1" customWidth="1"/>
    <col min="15890" max="15890" width="10.85546875" style="1" bestFit="1" customWidth="1"/>
    <col min="15891" max="16133" width="9.140625" style="1"/>
    <col min="16134" max="16134" width="4.42578125" style="1" customWidth="1"/>
    <col min="16135" max="16135" width="46" style="1" customWidth="1"/>
    <col min="16136" max="16136" width="9.140625" style="1" customWidth="1"/>
    <col min="16137" max="16137" width="6.85546875" style="1" bestFit="1" customWidth="1"/>
    <col min="16138" max="16138" width="11.85546875" style="1" bestFit="1" customWidth="1"/>
    <col min="16139" max="16139" width="6.28515625" style="1" bestFit="1" customWidth="1"/>
    <col min="16140" max="16140" width="10.28515625" style="1" bestFit="1" customWidth="1"/>
    <col min="16141" max="16141" width="6.28515625" style="1" bestFit="1" customWidth="1"/>
    <col min="16142" max="16142" width="11.140625" style="1" bestFit="1" customWidth="1"/>
    <col min="16143" max="16143" width="6.28515625" style="1" bestFit="1" customWidth="1"/>
    <col min="16144" max="16144" width="10" style="1" bestFit="1" customWidth="1"/>
    <col min="16145" max="16145" width="8.7109375" style="1" bestFit="1" customWidth="1"/>
    <col min="16146" max="16146" width="10.85546875" style="1" bestFit="1" customWidth="1"/>
    <col min="16147" max="16384" width="9.140625" style="1"/>
  </cols>
  <sheetData>
    <row r="1" spans="2:18" outlineLevel="1"/>
    <row r="2" spans="2:18" outlineLevel="1">
      <c r="B2" s="15"/>
      <c r="C2" s="18" t="s">
        <v>9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9" t="s">
        <v>14</v>
      </c>
    </row>
    <row r="3" spans="2:18" outlineLevel="1">
      <c r="B3" s="15"/>
      <c r="C3" s="20" t="s">
        <v>5</v>
      </c>
      <c r="D3" s="15"/>
      <c r="E3" s="15"/>
      <c r="F3" s="21" t="s">
        <v>11</v>
      </c>
      <c r="G3" s="15"/>
      <c r="H3" s="22" t="s">
        <v>53</v>
      </c>
      <c r="I3" s="23"/>
      <c r="J3" s="24"/>
      <c r="K3" s="15"/>
      <c r="L3" s="21" t="s">
        <v>23</v>
      </c>
      <c r="M3" s="15"/>
      <c r="N3" s="25" t="s">
        <v>55</v>
      </c>
      <c r="O3" s="26"/>
      <c r="P3" s="26"/>
      <c r="Q3" s="27"/>
      <c r="R3" s="15"/>
    </row>
    <row r="4" spans="2:18" outlineLevel="1">
      <c r="B4" s="15"/>
      <c r="C4" s="20" t="s">
        <v>15</v>
      </c>
      <c r="D4" s="15"/>
      <c r="E4" s="15"/>
      <c r="F4" s="21" t="s">
        <v>10</v>
      </c>
      <c r="G4" s="15"/>
      <c r="H4" s="22" t="s">
        <v>54</v>
      </c>
      <c r="I4" s="23"/>
      <c r="J4" s="24"/>
      <c r="K4" s="15"/>
      <c r="L4" s="21" t="s">
        <v>24</v>
      </c>
      <c r="M4" s="15"/>
      <c r="N4" s="25" t="s">
        <v>56</v>
      </c>
      <c r="O4" s="26"/>
      <c r="P4" s="26"/>
      <c r="Q4" s="27"/>
      <c r="R4" s="15"/>
    </row>
    <row r="5" spans="2:18" outlineLevel="1"/>
    <row r="6" spans="2:18">
      <c r="B6" s="28"/>
      <c r="C6" s="29" t="s">
        <v>37</v>
      </c>
      <c r="D6" s="30">
        <v>1</v>
      </c>
      <c r="E6" s="31"/>
      <c r="F6" s="30">
        <v>2</v>
      </c>
      <c r="G6" s="31"/>
      <c r="H6" s="32">
        <v>3</v>
      </c>
      <c r="I6" s="33"/>
      <c r="J6" s="32">
        <v>4</v>
      </c>
      <c r="K6" s="33"/>
      <c r="L6" s="32">
        <v>5</v>
      </c>
      <c r="M6" s="33"/>
      <c r="N6" s="32">
        <v>6</v>
      </c>
      <c r="O6" s="33"/>
      <c r="P6" s="32"/>
      <c r="Q6" s="34"/>
      <c r="R6" s="34"/>
    </row>
    <row r="7" spans="2:18" ht="38.25">
      <c r="B7" s="28"/>
      <c r="C7" s="29" t="s">
        <v>0</v>
      </c>
      <c r="D7" s="30" t="s">
        <v>61</v>
      </c>
      <c r="E7" s="31" t="s">
        <v>1</v>
      </c>
      <c r="F7" s="30" t="s">
        <v>45</v>
      </c>
      <c r="G7" s="31" t="s">
        <v>1</v>
      </c>
      <c r="H7" s="32" t="s">
        <v>46</v>
      </c>
      <c r="I7" s="33" t="s">
        <v>1</v>
      </c>
      <c r="J7" s="32" t="s">
        <v>65</v>
      </c>
      <c r="K7" s="33" t="s">
        <v>1</v>
      </c>
      <c r="L7" s="32" t="s">
        <v>47</v>
      </c>
      <c r="M7" s="33" t="s">
        <v>1</v>
      </c>
      <c r="N7" s="32" t="s">
        <v>62</v>
      </c>
      <c r="O7" s="33" t="s">
        <v>1</v>
      </c>
      <c r="P7" s="32"/>
      <c r="Q7" s="34" t="s">
        <v>1</v>
      </c>
      <c r="R7" s="34" t="s">
        <v>63</v>
      </c>
    </row>
    <row r="8" spans="2:18">
      <c r="B8" s="28"/>
      <c r="C8" s="35" t="s">
        <v>12</v>
      </c>
      <c r="D8" s="36" t="s">
        <v>48</v>
      </c>
      <c r="E8" s="37"/>
      <c r="F8" s="36" t="s">
        <v>48</v>
      </c>
      <c r="G8" s="37"/>
      <c r="H8" s="38" t="s">
        <v>49</v>
      </c>
      <c r="I8" s="39"/>
      <c r="J8" s="38" t="s">
        <v>50</v>
      </c>
      <c r="K8" s="39"/>
      <c r="L8" s="38" t="s">
        <v>51</v>
      </c>
      <c r="M8" s="39"/>
      <c r="N8" s="38" t="s">
        <v>52</v>
      </c>
      <c r="O8" s="39"/>
      <c r="P8" s="38"/>
      <c r="Q8" s="39"/>
      <c r="R8" s="34" t="s">
        <v>64</v>
      </c>
    </row>
    <row r="9" spans="2:18">
      <c r="B9" s="40"/>
      <c r="C9" s="41" t="s">
        <v>7</v>
      </c>
      <c r="D9" s="42" t="s">
        <v>25</v>
      </c>
      <c r="E9" s="43"/>
      <c r="F9" s="42" t="s">
        <v>25</v>
      </c>
      <c r="G9" s="43"/>
      <c r="H9" s="42" t="s">
        <v>25</v>
      </c>
      <c r="I9" s="43"/>
      <c r="J9" s="42" t="s">
        <v>25</v>
      </c>
      <c r="K9" s="43"/>
      <c r="L9" s="42" t="s">
        <v>25</v>
      </c>
      <c r="M9" s="43"/>
      <c r="N9" s="42" t="s">
        <v>25</v>
      </c>
      <c r="O9" s="43"/>
      <c r="P9" s="42" t="s">
        <v>25</v>
      </c>
      <c r="Q9" s="43"/>
      <c r="R9" s="43"/>
    </row>
    <row r="10" spans="2:18">
      <c r="B10" s="28">
        <v>1</v>
      </c>
      <c r="C10" s="35" t="str">
        <f>CONCATENATE("Purchase price of"," ",H4)</f>
        <v>Purchase price of Mango</v>
      </c>
      <c r="D10" s="44">
        <v>3</v>
      </c>
      <c r="E10" s="45"/>
      <c r="F10" s="28"/>
      <c r="G10" s="28"/>
      <c r="H10" s="15"/>
      <c r="I10" s="15"/>
      <c r="J10" s="46"/>
      <c r="K10" s="47"/>
      <c r="L10" s="15"/>
      <c r="M10" s="15"/>
      <c r="N10" s="15"/>
      <c r="O10" s="15"/>
      <c r="P10" s="15"/>
      <c r="Q10" s="15"/>
      <c r="R10" s="48"/>
    </row>
    <row r="11" spans="2:18" hidden="1" outlineLevel="1">
      <c r="B11" s="28">
        <v>2</v>
      </c>
      <c r="C11" s="35" t="s">
        <v>6</v>
      </c>
      <c r="D11" s="49">
        <v>1</v>
      </c>
      <c r="E11" s="45"/>
      <c r="F11" s="28"/>
      <c r="G11" s="28"/>
      <c r="H11" s="15"/>
      <c r="I11" s="15"/>
      <c r="J11" s="46"/>
      <c r="K11" s="47"/>
      <c r="L11" s="15"/>
      <c r="M11" s="15"/>
      <c r="N11" s="15"/>
      <c r="O11" s="15"/>
      <c r="P11" s="15"/>
      <c r="Q11" s="15"/>
      <c r="R11" s="48"/>
    </row>
    <row r="12" spans="2:18" hidden="1" outlineLevel="1">
      <c r="B12" s="28">
        <v>3</v>
      </c>
      <c r="C12" s="35" t="s">
        <v>8</v>
      </c>
      <c r="D12" s="50">
        <f>D10*D11</f>
        <v>3</v>
      </c>
      <c r="E12" s="51">
        <f>D12/D16</f>
        <v>1</v>
      </c>
      <c r="F12" s="28"/>
      <c r="G12" s="28"/>
      <c r="H12" s="15"/>
      <c r="I12" s="15"/>
      <c r="J12" s="46"/>
      <c r="K12" s="47"/>
      <c r="L12" s="15"/>
      <c r="M12" s="15"/>
      <c r="N12" s="15"/>
      <c r="O12" s="15"/>
      <c r="P12" s="15"/>
      <c r="Q12" s="15"/>
      <c r="R12" s="48"/>
    </row>
    <row r="13" spans="2:18" hidden="1" outlineLevel="1">
      <c r="B13" s="28">
        <v>3</v>
      </c>
      <c r="C13" s="52" t="s">
        <v>57</v>
      </c>
      <c r="D13" s="53">
        <v>0</v>
      </c>
      <c r="E13" s="51">
        <f>D13/D18</f>
        <v>0</v>
      </c>
      <c r="F13" s="28"/>
      <c r="G13" s="28"/>
      <c r="H13" s="15"/>
      <c r="I13" s="15"/>
      <c r="J13" s="46"/>
      <c r="K13" s="47"/>
      <c r="L13" s="15"/>
      <c r="M13" s="15"/>
      <c r="N13" s="15"/>
      <c r="O13" s="15"/>
      <c r="P13" s="15"/>
      <c r="Q13" s="15"/>
      <c r="R13" s="48"/>
    </row>
    <row r="14" spans="2:18" hidden="1" outlineLevel="1">
      <c r="B14" s="28">
        <v>4</v>
      </c>
      <c r="C14" s="35" t="s">
        <v>4</v>
      </c>
      <c r="D14" s="53">
        <v>0</v>
      </c>
      <c r="E14" s="51">
        <f>D14/D18</f>
        <v>0</v>
      </c>
      <c r="F14" s="28"/>
      <c r="G14" s="28"/>
      <c r="H14" s="15"/>
      <c r="I14" s="15"/>
      <c r="J14" s="46"/>
      <c r="K14" s="47"/>
      <c r="L14" s="15"/>
      <c r="M14" s="15"/>
      <c r="N14" s="15"/>
      <c r="O14" s="15"/>
      <c r="P14" s="15"/>
      <c r="Q14" s="15"/>
      <c r="R14" s="48"/>
    </row>
    <row r="15" spans="2:18" hidden="1" outlineLevel="1">
      <c r="B15" s="28">
        <v>5</v>
      </c>
      <c r="C15" s="35" t="s">
        <v>3</v>
      </c>
      <c r="D15" s="54">
        <v>0</v>
      </c>
      <c r="E15" s="55">
        <f>D15/D18</f>
        <v>0</v>
      </c>
      <c r="F15" s="28"/>
      <c r="G15" s="28"/>
      <c r="H15" s="15"/>
      <c r="I15" s="15"/>
      <c r="J15" s="46"/>
      <c r="K15" s="47"/>
      <c r="L15" s="15"/>
      <c r="M15" s="15"/>
      <c r="N15" s="15"/>
      <c r="O15" s="15"/>
      <c r="P15" s="15"/>
      <c r="Q15" s="15"/>
      <c r="R15" s="56"/>
    </row>
    <row r="16" spans="2:18" collapsed="1">
      <c r="B16" s="28">
        <v>6</v>
      </c>
      <c r="C16" s="35" t="str">
        <f>CONCATENATE("Variable cost"," ",D7)</f>
        <v>Variable cost Farmer in Peru</v>
      </c>
      <c r="D16" s="57">
        <f>SUM(D12:D15)</f>
        <v>3</v>
      </c>
      <c r="E16" s="51">
        <f>D16/D18</f>
        <v>5.6603773584905662E-2</v>
      </c>
      <c r="F16" s="28"/>
      <c r="G16" s="28"/>
      <c r="H16" s="15"/>
      <c r="I16" s="15"/>
      <c r="J16" s="15"/>
      <c r="K16" s="47"/>
      <c r="L16" s="15"/>
      <c r="M16" s="15"/>
      <c r="N16" s="15"/>
      <c r="O16" s="15"/>
      <c r="P16" s="15"/>
      <c r="Q16" s="15"/>
      <c r="R16" s="48"/>
    </row>
    <row r="17" spans="2:23">
      <c r="B17" s="28">
        <v>7</v>
      </c>
      <c r="C17" s="35" t="s">
        <v>13</v>
      </c>
      <c r="D17" s="58">
        <v>50</v>
      </c>
      <c r="E17" s="51">
        <f>D17/D18</f>
        <v>0.94339622641509435</v>
      </c>
      <c r="F17" s="28"/>
      <c r="G17" s="28"/>
      <c r="H17" s="15"/>
      <c r="I17" s="15"/>
      <c r="J17" s="46"/>
      <c r="K17" s="47"/>
      <c r="L17" s="15"/>
      <c r="M17" s="15"/>
      <c r="N17" s="15"/>
      <c r="O17" s="15"/>
      <c r="P17" s="15"/>
      <c r="Q17" s="15"/>
      <c r="R17" s="48"/>
      <c r="U17" s="15"/>
      <c r="V17" s="16" t="s">
        <v>42</v>
      </c>
      <c r="W17" s="16" t="s">
        <v>43</v>
      </c>
    </row>
    <row r="18" spans="2:23">
      <c r="B18" s="40">
        <v>8</v>
      </c>
      <c r="C18" s="41" t="str">
        <f>CONCATENATE("Sales price"," ",D7)</f>
        <v>Sales price Farmer in Peru</v>
      </c>
      <c r="D18" s="59">
        <f>SUM(D16:D17)</f>
        <v>53</v>
      </c>
      <c r="E18" s="55">
        <f>D18/D18</f>
        <v>1</v>
      </c>
      <c r="F18" s="28"/>
      <c r="G18" s="28"/>
      <c r="H18" s="28"/>
      <c r="I18" s="15"/>
      <c r="J18" s="18"/>
      <c r="K18" s="47"/>
      <c r="L18" s="15"/>
      <c r="M18" s="15"/>
      <c r="N18" s="15"/>
      <c r="O18" s="15"/>
      <c r="P18" s="15"/>
      <c r="Q18" s="15"/>
      <c r="R18" s="60">
        <f>D18/$N$66</f>
        <v>2.5589379467683412E-2</v>
      </c>
      <c r="U18" s="15" t="str">
        <f>D7</f>
        <v>Farmer in Peru</v>
      </c>
      <c r="V18" s="17">
        <f>D17</f>
        <v>50</v>
      </c>
      <c r="W18" s="17">
        <f>D18</f>
        <v>53</v>
      </c>
    </row>
    <row r="19" spans="2:23">
      <c r="B19" s="28">
        <v>1</v>
      </c>
      <c r="C19" s="61" t="str">
        <f>CONCATENATE("Purchase price from"," ",D7)</f>
        <v>Purchase price from Farmer in Peru</v>
      </c>
      <c r="D19" s="28"/>
      <c r="E19" s="28"/>
      <c r="F19" s="57">
        <f>D18</f>
        <v>53</v>
      </c>
      <c r="G19" s="45"/>
      <c r="H19" s="15"/>
      <c r="I19" s="15"/>
      <c r="J19" s="15"/>
      <c r="K19" s="15"/>
      <c r="L19" s="15"/>
      <c r="M19" s="48"/>
      <c r="N19" s="15"/>
      <c r="O19" s="15"/>
      <c r="P19" s="15"/>
      <c r="Q19" s="15"/>
      <c r="R19" s="48"/>
      <c r="U19" s="15" t="str">
        <f>F7</f>
        <v>Fruit collector</v>
      </c>
      <c r="V19" s="17">
        <f>F26</f>
        <v>8</v>
      </c>
      <c r="W19" s="17">
        <f>F30</f>
        <v>72.5</v>
      </c>
    </row>
    <row r="20" spans="2:23" hidden="1" outlineLevel="1">
      <c r="B20" s="28">
        <v>2</v>
      </c>
      <c r="C20" s="61" t="s">
        <v>6</v>
      </c>
      <c r="D20" s="28"/>
      <c r="E20" s="28"/>
      <c r="F20" s="49">
        <v>1</v>
      </c>
      <c r="G20" s="45"/>
      <c r="H20" s="15"/>
      <c r="I20" s="15"/>
      <c r="J20" s="15"/>
      <c r="K20" s="15"/>
      <c r="L20" s="46"/>
      <c r="M20" s="48"/>
      <c r="N20" s="15"/>
      <c r="O20" s="15"/>
      <c r="P20" s="15"/>
      <c r="Q20" s="15"/>
      <c r="R20" s="48"/>
      <c r="U20" s="15"/>
      <c r="V20" s="16"/>
      <c r="W20" s="16"/>
    </row>
    <row r="21" spans="2:23" hidden="1" outlineLevel="1">
      <c r="B21" s="28">
        <v>3</v>
      </c>
      <c r="C21" s="61" t="s">
        <v>8</v>
      </c>
      <c r="D21" s="28"/>
      <c r="E21" s="28"/>
      <c r="F21" s="50">
        <f>F19*F20</f>
        <v>53</v>
      </c>
      <c r="G21" s="45">
        <f>F21/F30</f>
        <v>0.73103448275862071</v>
      </c>
      <c r="H21" s="15"/>
      <c r="I21" s="15"/>
      <c r="J21" s="15"/>
      <c r="K21" s="15"/>
      <c r="L21" s="46"/>
      <c r="M21" s="48"/>
      <c r="N21" s="15"/>
      <c r="O21" s="15"/>
      <c r="P21" s="15"/>
      <c r="Q21" s="15"/>
      <c r="R21" s="48"/>
      <c r="U21" s="15"/>
      <c r="V21" s="16"/>
      <c r="W21" s="16"/>
    </row>
    <row r="22" spans="2:23" hidden="1" outlineLevel="1">
      <c r="B22" s="28">
        <v>4</v>
      </c>
      <c r="C22" s="62" t="s">
        <v>58</v>
      </c>
      <c r="D22" s="28"/>
      <c r="E22" s="28"/>
      <c r="F22" s="53">
        <v>0</v>
      </c>
      <c r="G22" s="45">
        <f>F22/F30</f>
        <v>0</v>
      </c>
      <c r="H22" s="15"/>
      <c r="I22" s="15"/>
      <c r="J22" s="15"/>
      <c r="K22" s="15"/>
      <c r="L22" s="46"/>
      <c r="M22" s="48"/>
      <c r="N22" s="15"/>
      <c r="O22" s="15"/>
      <c r="P22" s="15"/>
      <c r="Q22" s="15"/>
      <c r="R22" s="48"/>
      <c r="U22" s="15"/>
      <c r="V22" s="16"/>
      <c r="W22" s="16"/>
    </row>
    <row r="23" spans="2:23" hidden="1" outlineLevel="1">
      <c r="B23" s="28">
        <v>5</v>
      </c>
      <c r="C23" s="62" t="s">
        <v>4</v>
      </c>
      <c r="D23" s="28"/>
      <c r="E23" s="28"/>
      <c r="F23" s="53">
        <v>0.5</v>
      </c>
      <c r="G23" s="45">
        <f>F23/F30</f>
        <v>6.8965517241379309E-3</v>
      </c>
      <c r="H23" s="46"/>
      <c r="I23" s="48"/>
      <c r="J23" s="15"/>
      <c r="K23" s="15"/>
      <c r="L23" s="46"/>
      <c r="M23" s="48"/>
      <c r="N23" s="46"/>
      <c r="O23" s="48"/>
      <c r="P23" s="15"/>
      <c r="Q23" s="15"/>
      <c r="R23" s="48"/>
      <c r="U23" s="15"/>
      <c r="V23" s="16"/>
      <c r="W23" s="16"/>
    </row>
    <row r="24" spans="2:23" hidden="1" outlineLevel="1">
      <c r="B24" s="28">
        <v>6</v>
      </c>
      <c r="C24" s="62" t="s">
        <v>3</v>
      </c>
      <c r="D24" s="28"/>
      <c r="E24" s="28"/>
      <c r="F24" s="54">
        <v>11</v>
      </c>
      <c r="G24" s="63">
        <f>F24/F30</f>
        <v>0.15172413793103448</v>
      </c>
      <c r="H24" s="15"/>
      <c r="I24" s="15"/>
      <c r="J24" s="15"/>
      <c r="K24" s="15"/>
      <c r="L24" s="46"/>
      <c r="M24" s="48"/>
      <c r="N24" s="15"/>
      <c r="O24" s="15"/>
      <c r="P24" s="15"/>
      <c r="Q24" s="15"/>
      <c r="R24" s="48"/>
      <c r="U24" s="15"/>
      <c r="V24" s="16"/>
      <c r="W24" s="16"/>
    </row>
    <row r="25" spans="2:23" collapsed="1">
      <c r="B25" s="28">
        <v>7</v>
      </c>
      <c r="C25" s="62" t="str">
        <f>CONCATENATE("Variable cost"," ",F7)</f>
        <v>Variable cost Fruit collector</v>
      </c>
      <c r="D25" s="28"/>
      <c r="E25" s="28"/>
      <c r="F25" s="57">
        <f>SUM(F21:F24)</f>
        <v>64.5</v>
      </c>
      <c r="G25" s="45">
        <f>F25/F30</f>
        <v>0.8896551724137931</v>
      </c>
      <c r="H25" s="15"/>
      <c r="I25" s="15"/>
      <c r="J25" s="15"/>
      <c r="K25" s="15"/>
      <c r="L25" s="15"/>
      <c r="M25" s="48"/>
      <c r="N25" s="15"/>
      <c r="O25" s="15"/>
      <c r="P25" s="15"/>
      <c r="Q25" s="15"/>
      <c r="R25" s="48"/>
      <c r="U25" s="15" t="str">
        <f>H7</f>
        <v>Primary processor</v>
      </c>
      <c r="V25" s="17">
        <f>H38</f>
        <v>100</v>
      </c>
      <c r="W25" s="17">
        <f>H39</f>
        <v>614</v>
      </c>
    </row>
    <row r="26" spans="2:23">
      <c r="B26" s="28">
        <v>8</v>
      </c>
      <c r="C26" s="61" t="s">
        <v>13</v>
      </c>
      <c r="D26" s="28"/>
      <c r="E26" s="28"/>
      <c r="F26" s="58">
        <v>8</v>
      </c>
      <c r="G26" s="45">
        <f>F26/F30</f>
        <v>0.1103448275862069</v>
      </c>
      <c r="H26" s="15"/>
      <c r="I26" s="15"/>
      <c r="J26" s="15"/>
      <c r="K26" s="15"/>
      <c r="L26" s="46"/>
      <c r="M26" s="48"/>
      <c r="N26" s="15"/>
      <c r="O26" s="15"/>
      <c r="P26" s="15"/>
      <c r="Q26" s="15"/>
      <c r="R26" s="48"/>
      <c r="U26" s="15" t="str">
        <f>J7</f>
        <v>Importer, blender</v>
      </c>
      <c r="V26" s="17">
        <f>J47</f>
        <v>200</v>
      </c>
      <c r="W26" s="17">
        <f>J48</f>
        <v>1149</v>
      </c>
    </row>
    <row r="27" spans="2:23" hidden="1" outlineLevel="1">
      <c r="B27" s="28">
        <v>9</v>
      </c>
      <c r="C27" s="62" t="s">
        <v>26</v>
      </c>
      <c r="D27" s="28"/>
      <c r="E27" s="28"/>
      <c r="F27" s="57">
        <f>F25+F26</f>
        <v>72.5</v>
      </c>
      <c r="G27" s="45">
        <f>F27/F30</f>
        <v>1</v>
      </c>
      <c r="H27" s="15"/>
      <c r="I27" s="15"/>
      <c r="J27" s="15"/>
      <c r="K27" s="15"/>
      <c r="L27" s="15"/>
      <c r="M27" s="48"/>
      <c r="N27" s="15"/>
      <c r="O27" s="15"/>
      <c r="P27" s="15"/>
      <c r="Q27" s="15"/>
      <c r="R27" s="48"/>
      <c r="U27" s="15"/>
      <c r="V27" s="16"/>
      <c r="W27" s="16"/>
    </row>
    <row r="28" spans="2:23" hidden="1" outlineLevel="1">
      <c r="B28" s="28">
        <v>10</v>
      </c>
      <c r="C28" s="62" t="s">
        <v>27</v>
      </c>
      <c r="D28" s="28"/>
      <c r="E28" s="28"/>
      <c r="F28" s="44">
        <v>0</v>
      </c>
      <c r="G28" s="64">
        <f>F28/F30</f>
        <v>0</v>
      </c>
      <c r="H28" s="15"/>
      <c r="I28" s="15"/>
      <c r="J28" s="15"/>
      <c r="K28" s="15"/>
      <c r="L28" s="15"/>
      <c r="M28" s="48"/>
      <c r="N28" s="15"/>
      <c r="O28" s="15"/>
      <c r="P28" s="15"/>
      <c r="Q28" s="15"/>
      <c r="R28" s="48"/>
      <c r="U28" s="15"/>
      <c r="V28" s="16"/>
      <c r="W28" s="16"/>
    </row>
    <row r="29" spans="2:23" hidden="1" outlineLevel="1">
      <c r="B29" s="28">
        <v>11</v>
      </c>
      <c r="C29" s="62" t="s">
        <v>28</v>
      </c>
      <c r="D29" s="65">
        <f>1.2*F39</f>
        <v>0</v>
      </c>
      <c r="E29" s="66">
        <v>0.21393747115828332</v>
      </c>
      <c r="F29" s="67">
        <f>D29*E29</f>
        <v>0</v>
      </c>
      <c r="G29" s="64">
        <f>F29/F30</f>
        <v>0</v>
      </c>
      <c r="H29" s="15"/>
      <c r="I29" s="15"/>
      <c r="J29" s="15"/>
      <c r="K29" s="15"/>
      <c r="L29" s="15"/>
      <c r="M29" s="48"/>
      <c r="N29" s="15"/>
      <c r="O29" s="15"/>
      <c r="P29" s="15"/>
      <c r="Q29" s="15"/>
      <c r="R29" s="48"/>
      <c r="U29" s="15"/>
      <c r="V29" s="16"/>
      <c r="W29" s="16"/>
    </row>
    <row r="30" spans="2:23" collapsed="1">
      <c r="B30" s="40">
        <v>12</v>
      </c>
      <c r="C30" s="68" t="str">
        <f>CONCATENATE("Sales price"," ",F7)</f>
        <v>Sales price Fruit collector</v>
      </c>
      <c r="D30" s="41"/>
      <c r="E30" s="41"/>
      <c r="F30" s="59">
        <f>SUM(F27:F29)</f>
        <v>72.5</v>
      </c>
      <c r="G30" s="63">
        <f>F30/F30</f>
        <v>1</v>
      </c>
      <c r="H30" s="15"/>
      <c r="I30" s="15"/>
      <c r="J30" s="18"/>
      <c r="K30" s="18"/>
      <c r="L30" s="18"/>
      <c r="M30" s="48"/>
      <c r="N30" s="15"/>
      <c r="O30" s="15"/>
      <c r="P30" s="15"/>
      <c r="Q30" s="15"/>
      <c r="R30" s="60">
        <f>F30/$N$66</f>
        <v>3.5004339837868818E-2</v>
      </c>
      <c r="U30" s="15" t="str">
        <f>L7</f>
        <v>Juice filler</v>
      </c>
      <c r="V30" s="17">
        <f>L56</f>
        <v>200</v>
      </c>
      <c r="W30" s="17">
        <f>L57</f>
        <v>1471.1717557251909</v>
      </c>
    </row>
    <row r="31" spans="2:23">
      <c r="B31" s="15">
        <v>1</v>
      </c>
      <c r="C31" s="69" t="str">
        <f>CONCATENATE("Purchase price from"," ",F7)</f>
        <v>Purchase price from Fruit collector</v>
      </c>
      <c r="D31" s="15"/>
      <c r="E31" s="15"/>
      <c r="F31" s="15"/>
      <c r="G31" s="15"/>
      <c r="H31" s="57">
        <f>F30</f>
        <v>72.5</v>
      </c>
      <c r="I31" s="45"/>
      <c r="J31" s="15"/>
      <c r="K31" s="15"/>
      <c r="L31" s="15"/>
      <c r="M31" s="15"/>
      <c r="N31" s="15"/>
      <c r="O31" s="48"/>
      <c r="P31" s="15"/>
      <c r="Q31" s="15"/>
      <c r="R31" s="48"/>
      <c r="U31" s="15" t="str">
        <f>N7</f>
        <v>Retailer in Holland</v>
      </c>
      <c r="V31" s="17">
        <f>N65</f>
        <v>600</v>
      </c>
      <c r="W31" s="17">
        <f>N66</f>
        <v>2071.1717557251909</v>
      </c>
    </row>
    <row r="32" spans="2:23" hidden="1" outlineLevel="1">
      <c r="B32" s="15">
        <v>2</v>
      </c>
      <c r="C32" s="69" t="s">
        <v>6</v>
      </c>
      <c r="D32" s="15"/>
      <c r="E32" s="15"/>
      <c r="F32" s="15"/>
      <c r="G32" s="15"/>
      <c r="H32" s="49">
        <v>2.8</v>
      </c>
      <c r="I32" s="45"/>
      <c r="J32" s="15"/>
      <c r="K32" s="15"/>
      <c r="L32" s="15"/>
      <c r="M32" s="15"/>
      <c r="N32" s="15"/>
      <c r="O32" s="48"/>
      <c r="P32" s="15"/>
      <c r="Q32" s="15"/>
      <c r="R32" s="48"/>
      <c r="U32" s="15" t="str">
        <f t="shared" ref="U32:U36" si="0">N8</f>
        <v>Dongen</v>
      </c>
      <c r="V32" s="17">
        <f t="shared" ref="V32:V36" si="1">N66</f>
        <v>2071.1717557251909</v>
      </c>
      <c r="W32" s="17">
        <f t="shared" ref="W32:W37" si="2">N67</f>
        <v>0</v>
      </c>
    </row>
    <row r="33" spans="2:23" hidden="1" outlineLevel="1">
      <c r="B33" s="15">
        <v>3</v>
      </c>
      <c r="C33" s="69" t="s">
        <v>8</v>
      </c>
      <c r="D33" s="15"/>
      <c r="E33" s="15"/>
      <c r="F33" s="15"/>
      <c r="G33" s="15"/>
      <c r="H33" s="50">
        <f>H31*H32</f>
        <v>203</v>
      </c>
      <c r="I33" s="45">
        <f>H33/H39</f>
        <v>0.3306188925081433</v>
      </c>
      <c r="J33" s="15"/>
      <c r="K33" s="15"/>
      <c r="L33" s="15"/>
      <c r="M33" s="15"/>
      <c r="N33" s="15"/>
      <c r="O33" s="70"/>
      <c r="P33" s="15"/>
      <c r="Q33" s="15"/>
      <c r="R33" s="48"/>
      <c r="U33" s="15" t="str">
        <f t="shared" si="0"/>
        <v>ton</v>
      </c>
      <c r="V33" s="17">
        <f t="shared" si="1"/>
        <v>0</v>
      </c>
      <c r="W33" s="17">
        <f t="shared" si="2"/>
        <v>0</v>
      </c>
    </row>
    <row r="34" spans="2:23" hidden="1" outlineLevel="1">
      <c r="B34" s="15">
        <v>4</v>
      </c>
      <c r="C34" s="69" t="s">
        <v>58</v>
      </c>
      <c r="D34" s="15"/>
      <c r="E34" s="15"/>
      <c r="F34" s="46"/>
      <c r="G34" s="15"/>
      <c r="H34" s="58">
        <v>25</v>
      </c>
      <c r="I34" s="45">
        <f>H34/H39</f>
        <v>4.071661237785016E-2</v>
      </c>
      <c r="J34" s="15"/>
      <c r="K34" s="15"/>
      <c r="L34" s="15"/>
      <c r="M34" s="15"/>
      <c r="N34" s="15"/>
      <c r="O34" s="48"/>
      <c r="P34" s="15"/>
      <c r="Q34" s="15"/>
      <c r="R34" s="48"/>
      <c r="U34" s="15">
        <f t="shared" si="0"/>
        <v>0</v>
      </c>
      <c r="V34" s="17">
        <f t="shared" si="1"/>
        <v>0</v>
      </c>
      <c r="W34" s="17">
        <f t="shared" si="2"/>
        <v>0</v>
      </c>
    </row>
    <row r="35" spans="2:23" hidden="1" outlineLevel="1">
      <c r="B35" s="15">
        <v>5</v>
      </c>
      <c r="C35" s="69" t="s">
        <v>4</v>
      </c>
      <c r="D35" s="15"/>
      <c r="E35" s="15"/>
      <c r="F35" s="15"/>
      <c r="G35" s="15"/>
      <c r="H35" s="58">
        <v>236</v>
      </c>
      <c r="I35" s="45">
        <f>H35/H39</f>
        <v>0.38436482084690554</v>
      </c>
      <c r="J35" s="15"/>
      <c r="K35" s="15"/>
      <c r="L35" s="15"/>
      <c r="M35" s="15"/>
      <c r="N35" s="46"/>
      <c r="O35" s="48"/>
      <c r="P35" s="15"/>
      <c r="Q35" s="15"/>
      <c r="R35" s="48"/>
      <c r="U35" s="15">
        <f t="shared" si="0"/>
        <v>0</v>
      </c>
      <c r="V35" s="17">
        <f t="shared" si="1"/>
        <v>0</v>
      </c>
      <c r="W35" s="17">
        <f t="shared" si="2"/>
        <v>0</v>
      </c>
    </row>
    <row r="36" spans="2:23" hidden="1" outlineLevel="1">
      <c r="B36" s="15">
        <v>6</v>
      </c>
      <c r="C36" s="69" t="s">
        <v>3</v>
      </c>
      <c r="D36" s="15"/>
      <c r="E36" s="15"/>
      <c r="F36" s="15"/>
      <c r="G36" s="15"/>
      <c r="H36" s="71">
        <v>50</v>
      </c>
      <c r="I36" s="63">
        <f>H36/H39</f>
        <v>8.143322475570032E-2</v>
      </c>
      <c r="J36" s="15"/>
      <c r="K36" s="15"/>
      <c r="L36" s="15"/>
      <c r="M36" s="15"/>
      <c r="N36" s="46"/>
      <c r="O36" s="48"/>
      <c r="P36" s="15"/>
      <c r="Q36" s="15"/>
      <c r="R36" s="48"/>
      <c r="U36" s="15">
        <f t="shared" si="0"/>
        <v>0</v>
      </c>
      <c r="V36" s="17">
        <f t="shared" si="1"/>
        <v>0</v>
      </c>
      <c r="W36" s="17">
        <f t="shared" si="2"/>
        <v>12</v>
      </c>
    </row>
    <row r="37" spans="2:23" collapsed="1">
      <c r="B37" s="15">
        <v>7</v>
      </c>
      <c r="C37" s="69" t="str">
        <f>CONCATENATE("Variable cost"," ",H7)</f>
        <v>Variable cost Primary processor</v>
      </c>
      <c r="D37" s="15"/>
      <c r="E37" s="15"/>
      <c r="F37" s="15"/>
      <c r="G37" s="15"/>
      <c r="H37" s="57">
        <f>SUM(H33:H36)</f>
        <v>514</v>
      </c>
      <c r="I37" s="45">
        <f>H37/H39</f>
        <v>0.83713355048859939</v>
      </c>
      <c r="J37" s="15"/>
      <c r="K37" s="15"/>
      <c r="L37" s="15"/>
      <c r="M37" s="15"/>
      <c r="N37" s="15"/>
      <c r="O37" s="48"/>
      <c r="P37" s="15"/>
      <c r="Q37" s="15"/>
      <c r="R37" s="56"/>
      <c r="U37" s="15" t="s">
        <v>44</v>
      </c>
      <c r="V37" s="17">
        <f>SUM(V18:V31)</f>
        <v>1158</v>
      </c>
      <c r="W37" s="17">
        <f t="shared" si="2"/>
        <v>1400</v>
      </c>
    </row>
    <row r="38" spans="2:23">
      <c r="B38" s="15">
        <v>8</v>
      </c>
      <c r="C38" s="72" t="s">
        <v>13</v>
      </c>
      <c r="D38" s="15"/>
      <c r="E38" s="15"/>
      <c r="F38" s="15"/>
      <c r="G38" s="15"/>
      <c r="H38" s="58">
        <v>100</v>
      </c>
      <c r="I38" s="45">
        <f>H38/H39</f>
        <v>0.16286644951140064</v>
      </c>
      <c r="J38" s="15"/>
      <c r="K38" s="15"/>
      <c r="L38" s="15"/>
      <c r="M38" s="15"/>
      <c r="N38" s="46"/>
      <c r="O38" s="48"/>
      <c r="P38" s="15"/>
      <c r="Q38" s="15"/>
      <c r="R38" s="48"/>
    </row>
    <row r="39" spans="2:23">
      <c r="B39" s="40">
        <v>9</v>
      </c>
      <c r="C39" s="73" t="str">
        <f>CONCATENATE("Sales price"," ",H7)</f>
        <v>Sales price Primary processor</v>
      </c>
      <c r="D39" s="41"/>
      <c r="E39" s="41"/>
      <c r="F39" s="74"/>
      <c r="G39" s="75"/>
      <c r="H39" s="59">
        <f>H37+H38</f>
        <v>614</v>
      </c>
      <c r="I39" s="63">
        <f>H39/H39</f>
        <v>1</v>
      </c>
      <c r="J39" s="21"/>
      <c r="K39" s="18"/>
      <c r="L39" s="18"/>
      <c r="M39" s="18"/>
      <c r="N39" s="18"/>
      <c r="O39" s="48"/>
      <c r="P39" s="15"/>
      <c r="Q39" s="15"/>
      <c r="R39" s="60">
        <f>H39/$N$66</f>
        <v>0.29645054704070972</v>
      </c>
    </row>
    <row r="40" spans="2:23">
      <c r="B40" s="15">
        <v>1</v>
      </c>
      <c r="C40" s="76" t="str">
        <f>CONCATENATE("Purchase price from"," ",H7)</f>
        <v>Purchase price from Primary processor</v>
      </c>
      <c r="D40" s="15"/>
      <c r="E40" s="15"/>
      <c r="F40" s="15"/>
      <c r="G40" s="15"/>
      <c r="H40" s="15"/>
      <c r="I40" s="15"/>
      <c r="J40" s="57">
        <f>H39</f>
        <v>614</v>
      </c>
      <c r="K40" s="45"/>
      <c r="L40" s="15"/>
      <c r="M40" s="15"/>
      <c r="N40" s="15"/>
      <c r="O40" s="15"/>
      <c r="P40" s="15"/>
      <c r="Q40" s="15"/>
      <c r="R40" s="48"/>
    </row>
    <row r="41" spans="2:23" hidden="1" outlineLevel="1">
      <c r="B41" s="15">
        <v>2</v>
      </c>
      <c r="C41" s="76" t="s">
        <v>6</v>
      </c>
      <c r="D41" s="15"/>
      <c r="E41" s="15"/>
      <c r="F41" s="15"/>
      <c r="G41" s="15"/>
      <c r="H41" s="15"/>
      <c r="I41" s="15"/>
      <c r="J41" s="53">
        <v>1</v>
      </c>
      <c r="K41" s="45"/>
      <c r="L41" s="15"/>
      <c r="M41" s="15"/>
      <c r="N41" s="15"/>
      <c r="O41" s="15"/>
      <c r="P41" s="15"/>
      <c r="Q41" s="15"/>
      <c r="R41" s="48"/>
    </row>
    <row r="42" spans="2:23" hidden="1" outlineLevel="1">
      <c r="B42" s="15">
        <v>3</v>
      </c>
      <c r="C42" s="76" t="s">
        <v>8</v>
      </c>
      <c r="D42" s="15"/>
      <c r="E42" s="15"/>
      <c r="F42" s="15"/>
      <c r="G42" s="15"/>
      <c r="H42" s="15"/>
      <c r="I42" s="15"/>
      <c r="J42" s="50">
        <f>J40*J41</f>
        <v>614</v>
      </c>
      <c r="K42" s="45">
        <f>J42/J48</f>
        <v>0.53437771975630988</v>
      </c>
      <c r="L42" s="15"/>
      <c r="M42" s="15"/>
      <c r="N42" s="15"/>
      <c r="O42" s="15"/>
      <c r="P42" s="15"/>
      <c r="Q42" s="15"/>
      <c r="R42" s="48"/>
    </row>
    <row r="43" spans="2:23" hidden="1" outlineLevel="1">
      <c r="B43" s="15">
        <v>4</v>
      </c>
      <c r="C43" s="76" t="s">
        <v>58</v>
      </c>
      <c r="D43" s="15"/>
      <c r="E43" s="15"/>
      <c r="F43" s="15"/>
      <c r="G43" s="15"/>
      <c r="H43" s="15"/>
      <c r="I43" s="15"/>
      <c r="J43" s="58">
        <v>25</v>
      </c>
      <c r="K43" s="45">
        <f>J43/J48</f>
        <v>2.1758050478677109E-2</v>
      </c>
      <c r="L43" s="15"/>
      <c r="M43" s="15"/>
      <c r="N43" s="15"/>
      <c r="O43" s="15"/>
      <c r="P43" s="15"/>
      <c r="Q43" s="15"/>
      <c r="R43" s="48"/>
    </row>
    <row r="44" spans="2:23" hidden="1" outlineLevel="1">
      <c r="B44" s="15">
        <v>5</v>
      </c>
      <c r="C44" s="76" t="s">
        <v>4</v>
      </c>
      <c r="D44" s="15"/>
      <c r="E44" s="15"/>
      <c r="F44" s="15"/>
      <c r="G44" s="15"/>
      <c r="H44" s="46"/>
      <c r="I44" s="48"/>
      <c r="J44" s="58">
        <v>200</v>
      </c>
      <c r="K44" s="45">
        <f>J44/J48</f>
        <v>0.17406440382941687</v>
      </c>
      <c r="L44" s="15"/>
      <c r="M44" s="15"/>
      <c r="N44" s="46"/>
      <c r="O44" s="48"/>
      <c r="P44" s="15"/>
      <c r="Q44" s="15"/>
      <c r="R44" s="48"/>
    </row>
    <row r="45" spans="2:23" hidden="1" outlineLevel="1">
      <c r="B45" s="15">
        <v>6</v>
      </c>
      <c r="C45" s="76" t="s">
        <v>3</v>
      </c>
      <c r="D45" s="15"/>
      <c r="E45" s="15"/>
      <c r="F45" s="15"/>
      <c r="G45" s="15"/>
      <c r="H45" s="15"/>
      <c r="I45" s="15"/>
      <c r="J45" s="71">
        <v>110</v>
      </c>
      <c r="K45" s="63">
        <f>J45/J48</f>
        <v>9.5735422106179288E-2</v>
      </c>
      <c r="L45" s="15"/>
      <c r="M45" s="15"/>
      <c r="N45" s="15"/>
      <c r="O45" s="15"/>
      <c r="P45" s="15"/>
      <c r="Q45" s="15"/>
      <c r="R45" s="48"/>
    </row>
    <row r="46" spans="2:23" collapsed="1">
      <c r="B46" s="15">
        <v>7</v>
      </c>
      <c r="C46" s="76" t="str">
        <f>CONCATENATE("Variable cost"," ",J7)</f>
        <v>Variable cost Importer, blender</v>
      </c>
      <c r="D46" s="15"/>
      <c r="E46" s="15"/>
      <c r="F46" s="15"/>
      <c r="G46" s="15"/>
      <c r="H46" s="15"/>
      <c r="I46" s="77"/>
      <c r="J46" s="57">
        <f>SUM(J42:J45)</f>
        <v>949</v>
      </c>
      <c r="K46" s="45">
        <f>J46/J48</f>
        <v>0.8259355961705831</v>
      </c>
      <c r="L46" s="15"/>
      <c r="M46" s="15"/>
      <c r="N46" s="15"/>
      <c r="O46" s="15"/>
      <c r="P46" s="15"/>
      <c r="Q46" s="15"/>
      <c r="R46" s="56"/>
    </row>
    <row r="47" spans="2:23">
      <c r="B47" s="15">
        <v>8</v>
      </c>
      <c r="C47" s="78" t="s">
        <v>13</v>
      </c>
      <c r="D47" s="15"/>
      <c r="E47" s="15"/>
      <c r="F47" s="15"/>
      <c r="G47" s="15"/>
      <c r="H47" s="15"/>
      <c r="I47" s="15"/>
      <c r="J47" s="58">
        <v>200</v>
      </c>
      <c r="K47" s="45">
        <f>J47/J48</f>
        <v>0.17406440382941687</v>
      </c>
      <c r="L47" s="15"/>
      <c r="M47" s="15"/>
      <c r="N47" s="15"/>
      <c r="O47" s="15"/>
      <c r="P47" s="15"/>
      <c r="Q47" s="15"/>
      <c r="R47" s="48"/>
    </row>
    <row r="48" spans="2:23">
      <c r="B48" s="40">
        <v>9</v>
      </c>
      <c r="C48" s="79" t="str">
        <f>CONCATENATE("Sales price"," ",J7)</f>
        <v>Sales price Importer, blender</v>
      </c>
      <c r="D48" s="41"/>
      <c r="E48" s="41"/>
      <c r="F48" s="40"/>
      <c r="G48" s="40"/>
      <c r="H48" s="74"/>
      <c r="I48" s="75"/>
      <c r="J48" s="59">
        <f>J46+J47</f>
        <v>1149</v>
      </c>
      <c r="K48" s="63">
        <f>J48/J48</f>
        <v>1</v>
      </c>
      <c r="L48" s="15"/>
      <c r="M48" s="15"/>
      <c r="N48" s="15"/>
      <c r="O48" s="15"/>
      <c r="P48" s="15"/>
      <c r="Q48" s="15"/>
      <c r="R48" s="60">
        <f>J48/$N$66</f>
        <v>0.55475843412015546</v>
      </c>
    </row>
    <row r="49" spans="2:18">
      <c r="B49" s="15">
        <v>1</v>
      </c>
      <c r="C49" s="80" t="str">
        <f>CONCATENATE("Purchase price from"," ",J7)</f>
        <v>Purchase price from Importer, blender</v>
      </c>
      <c r="D49" s="15"/>
      <c r="E49" s="15"/>
      <c r="F49" s="15"/>
      <c r="G49" s="15"/>
      <c r="H49" s="15"/>
      <c r="I49" s="15"/>
      <c r="J49" s="15"/>
      <c r="K49" s="15"/>
      <c r="L49" s="57">
        <f>J48/1</f>
        <v>1149</v>
      </c>
      <c r="M49" s="45"/>
      <c r="N49" s="15"/>
      <c r="O49" s="15"/>
      <c r="P49" s="15"/>
      <c r="Q49" s="15"/>
      <c r="R49" s="48"/>
    </row>
    <row r="50" spans="2:18" hidden="1" outlineLevel="1">
      <c r="B50" s="15">
        <v>2</v>
      </c>
      <c r="C50" s="80" t="s">
        <v>59</v>
      </c>
      <c r="D50" s="15"/>
      <c r="E50" s="15"/>
      <c r="F50" s="15"/>
      <c r="G50" s="15"/>
      <c r="H50" s="15"/>
      <c r="I50" s="15"/>
      <c r="J50" s="15"/>
      <c r="K50" s="15"/>
      <c r="L50" s="49">
        <f>(192+3)/262</f>
        <v>0.74427480916030531</v>
      </c>
      <c r="M50" s="45"/>
      <c r="N50" s="15"/>
      <c r="O50" s="15"/>
      <c r="P50" s="15"/>
      <c r="Q50" s="15"/>
      <c r="R50" s="48"/>
    </row>
    <row r="51" spans="2:18" hidden="1" outlineLevel="1">
      <c r="B51" s="15">
        <v>4</v>
      </c>
      <c r="C51" s="80" t="s">
        <v>8</v>
      </c>
      <c r="D51" s="15"/>
      <c r="E51" s="15"/>
      <c r="F51" s="15"/>
      <c r="G51" s="15"/>
      <c r="H51" s="15"/>
      <c r="I51" s="15"/>
      <c r="J51" s="15"/>
      <c r="K51" s="15"/>
      <c r="L51" s="50">
        <f>L49*L50</f>
        <v>855.17175572519079</v>
      </c>
      <c r="M51" s="45">
        <f>L51/L57</f>
        <v>0.58128614310138615</v>
      </c>
      <c r="N51" s="15"/>
      <c r="O51" s="15"/>
      <c r="P51" s="15"/>
      <c r="Q51" s="15"/>
      <c r="R51" s="48"/>
    </row>
    <row r="52" spans="2:18" hidden="1" outlineLevel="1">
      <c r="B52" s="15">
        <v>5</v>
      </c>
      <c r="C52" s="80" t="s">
        <v>58</v>
      </c>
      <c r="D52" s="15"/>
      <c r="E52" s="15"/>
      <c r="F52" s="15"/>
      <c r="G52" s="15"/>
      <c r="H52" s="15"/>
      <c r="I52" s="15"/>
      <c r="J52" s="15"/>
      <c r="K52" s="15"/>
      <c r="L52" s="58">
        <v>56</v>
      </c>
      <c r="M52" s="45">
        <f>L52/L57</f>
        <v>3.8064896081692161E-2</v>
      </c>
      <c r="N52" s="15"/>
      <c r="O52" s="15"/>
      <c r="P52" s="15"/>
      <c r="Q52" s="15"/>
      <c r="R52" s="48"/>
    </row>
    <row r="53" spans="2:18" hidden="1" outlineLevel="1">
      <c r="B53" s="15">
        <v>6</v>
      </c>
      <c r="C53" s="80" t="s">
        <v>4</v>
      </c>
      <c r="D53" s="15"/>
      <c r="E53" s="15"/>
      <c r="F53" s="15"/>
      <c r="G53" s="15"/>
      <c r="H53" s="15"/>
      <c r="I53" s="15"/>
      <c r="J53" s="15"/>
      <c r="K53" s="15"/>
      <c r="L53" s="58">
        <v>360</v>
      </c>
      <c r="M53" s="45">
        <f>L53/L57</f>
        <v>0.24470290338230677</v>
      </c>
      <c r="N53" s="15"/>
      <c r="O53" s="15"/>
      <c r="P53" s="15"/>
      <c r="Q53" s="15"/>
      <c r="R53" s="48"/>
    </row>
    <row r="54" spans="2:18" hidden="1" outlineLevel="1">
      <c r="B54" s="15">
        <v>7</v>
      </c>
      <c r="C54" s="80" t="s">
        <v>3</v>
      </c>
      <c r="D54" s="15"/>
      <c r="E54" s="15"/>
      <c r="F54" s="15"/>
      <c r="G54" s="15"/>
      <c r="H54" s="15"/>
      <c r="I54" s="15"/>
      <c r="J54" s="15"/>
      <c r="K54" s="15"/>
      <c r="L54" s="71">
        <v>0</v>
      </c>
      <c r="M54" s="63">
        <f>L54/L57</f>
        <v>0</v>
      </c>
      <c r="N54" s="15"/>
      <c r="O54" s="15"/>
      <c r="P54" s="15"/>
      <c r="Q54" s="15"/>
      <c r="R54" s="48"/>
    </row>
    <row r="55" spans="2:18" collapsed="1">
      <c r="B55" s="15">
        <v>8</v>
      </c>
      <c r="C55" s="80" t="str">
        <f>CONCATENATE("Variable cost"," ",L7)</f>
        <v>Variable cost Juice filler</v>
      </c>
      <c r="D55" s="15"/>
      <c r="E55" s="15"/>
      <c r="F55" s="15"/>
      <c r="G55" s="15"/>
      <c r="H55" s="15"/>
      <c r="I55" s="15"/>
      <c r="J55" s="15"/>
      <c r="K55" s="15"/>
      <c r="L55" s="57">
        <f>SUM(L51:L54)</f>
        <v>1271.1717557251909</v>
      </c>
      <c r="M55" s="45">
        <f>L55/L57</f>
        <v>0.86405394256538515</v>
      </c>
      <c r="N55" s="15"/>
      <c r="O55" s="15"/>
      <c r="P55" s="15"/>
      <c r="Q55" s="15"/>
      <c r="R55" s="56"/>
    </row>
    <row r="56" spans="2:18">
      <c r="B56" s="15">
        <v>9</v>
      </c>
      <c r="C56" s="80" t="s">
        <v>13</v>
      </c>
      <c r="D56" s="15"/>
      <c r="E56" s="15"/>
      <c r="F56" s="15"/>
      <c r="G56" s="15"/>
      <c r="H56" s="15"/>
      <c r="I56" s="15"/>
      <c r="J56" s="15"/>
      <c r="K56" s="15"/>
      <c r="L56" s="58">
        <v>200</v>
      </c>
      <c r="M56" s="45">
        <f>L56/L57</f>
        <v>0.13594605743461488</v>
      </c>
      <c r="N56" s="15"/>
      <c r="O56" s="15"/>
      <c r="P56" s="15"/>
      <c r="Q56" s="15"/>
      <c r="R56" s="48"/>
    </row>
    <row r="57" spans="2:18">
      <c r="B57" s="40">
        <v>10</v>
      </c>
      <c r="C57" s="81" t="str">
        <f>CONCATENATE("Sales price"," ",L7)</f>
        <v>Sales price Juice filler</v>
      </c>
      <c r="D57" s="41"/>
      <c r="E57" s="41"/>
      <c r="F57" s="41"/>
      <c r="G57" s="41"/>
      <c r="H57" s="40"/>
      <c r="I57" s="40"/>
      <c r="J57" s="41"/>
      <c r="K57" s="41"/>
      <c r="L57" s="59">
        <f>L55+L56</f>
        <v>1471.1717557251909</v>
      </c>
      <c r="M57" s="63">
        <f>L57/L57</f>
        <v>1</v>
      </c>
      <c r="N57" s="15"/>
      <c r="O57" s="15"/>
      <c r="P57" s="15"/>
      <c r="Q57" s="15"/>
      <c r="R57" s="60">
        <f>L57/$N$66</f>
        <v>0.71030891168660293</v>
      </c>
    </row>
    <row r="58" spans="2:18">
      <c r="B58" s="15">
        <v>1</v>
      </c>
      <c r="C58" s="82" t="str">
        <f>CONCATENATE("Purchase price from"," ",L7)</f>
        <v>Purchase price from Juice filler</v>
      </c>
      <c r="D58" s="15"/>
      <c r="E58" s="15"/>
      <c r="F58" s="15"/>
      <c r="G58" s="15"/>
      <c r="H58" s="15"/>
      <c r="I58" s="15"/>
      <c r="J58" s="15"/>
      <c r="K58" s="15"/>
      <c r="L58" s="15"/>
      <c r="M58" s="48"/>
      <c r="N58" s="57">
        <f>L57</f>
        <v>1471.1717557251909</v>
      </c>
      <c r="O58" s="45"/>
      <c r="P58" s="15"/>
      <c r="Q58" s="15"/>
      <c r="R58" s="48"/>
    </row>
    <row r="59" spans="2:18" hidden="1" outlineLevel="1">
      <c r="B59" s="15">
        <v>2</v>
      </c>
      <c r="C59" s="82" t="s">
        <v>6</v>
      </c>
      <c r="D59" s="15"/>
      <c r="E59" s="15"/>
      <c r="F59" s="15"/>
      <c r="G59" s="15"/>
      <c r="H59" s="15"/>
      <c r="I59" s="15"/>
      <c r="J59" s="15"/>
      <c r="K59" s="15"/>
      <c r="L59" s="46"/>
      <c r="M59" s="48"/>
      <c r="N59" s="49">
        <v>1</v>
      </c>
      <c r="O59" s="45"/>
      <c r="P59" s="15"/>
      <c r="Q59" s="15"/>
      <c r="R59" s="48"/>
    </row>
    <row r="60" spans="2:18" hidden="1" outlineLevel="1">
      <c r="B60" s="15">
        <v>3</v>
      </c>
      <c r="C60" s="82" t="s">
        <v>8</v>
      </c>
      <c r="D60" s="15"/>
      <c r="E60" s="15"/>
      <c r="F60" s="15"/>
      <c r="G60" s="15"/>
      <c r="H60" s="15"/>
      <c r="I60" s="15"/>
      <c r="J60" s="15"/>
      <c r="K60" s="15"/>
      <c r="L60" s="46"/>
      <c r="M60" s="48"/>
      <c r="N60" s="50">
        <f>N58*N59</f>
        <v>1471.1717557251909</v>
      </c>
      <c r="O60" s="45">
        <f>N60/N66</f>
        <v>0.71030891168660293</v>
      </c>
      <c r="P60" s="15"/>
      <c r="Q60" s="15"/>
      <c r="R60" s="48"/>
    </row>
    <row r="61" spans="2:18" hidden="1" outlineLevel="1">
      <c r="B61" s="15">
        <v>5</v>
      </c>
      <c r="C61" s="82" t="s">
        <v>58</v>
      </c>
      <c r="D61" s="15"/>
      <c r="E61" s="15"/>
      <c r="F61" s="15"/>
      <c r="G61" s="15"/>
      <c r="H61" s="15"/>
      <c r="I61" s="15"/>
      <c r="J61" s="15"/>
      <c r="K61" s="15"/>
      <c r="L61" s="46"/>
      <c r="M61" s="48"/>
      <c r="N61" s="58">
        <v>0</v>
      </c>
      <c r="O61" s="45">
        <f>N61/N66</f>
        <v>0</v>
      </c>
      <c r="P61" s="15"/>
      <c r="Q61" s="15"/>
      <c r="R61" s="48"/>
    </row>
    <row r="62" spans="2:18" hidden="1" outlineLevel="1">
      <c r="B62" s="15">
        <v>6</v>
      </c>
      <c r="C62" s="82" t="s">
        <v>4</v>
      </c>
      <c r="D62" s="15"/>
      <c r="E62" s="15"/>
      <c r="F62" s="15"/>
      <c r="G62" s="15"/>
      <c r="H62" s="15"/>
      <c r="I62" s="15"/>
      <c r="J62" s="15"/>
      <c r="K62" s="15"/>
      <c r="L62" s="46"/>
      <c r="M62" s="48"/>
      <c r="N62" s="58">
        <v>0</v>
      </c>
      <c r="O62" s="45">
        <f>N62/N66</f>
        <v>0</v>
      </c>
      <c r="P62" s="15"/>
      <c r="Q62" s="15"/>
      <c r="R62" s="48"/>
    </row>
    <row r="63" spans="2:18" hidden="1" outlineLevel="1">
      <c r="B63" s="15">
        <v>7</v>
      </c>
      <c r="C63" s="82" t="s">
        <v>3</v>
      </c>
      <c r="D63" s="15"/>
      <c r="E63" s="15"/>
      <c r="F63" s="15"/>
      <c r="G63" s="15"/>
      <c r="H63" s="15"/>
      <c r="I63" s="15"/>
      <c r="J63" s="15"/>
      <c r="K63" s="15"/>
      <c r="L63" s="46"/>
      <c r="M63" s="48"/>
      <c r="N63" s="71">
        <v>0</v>
      </c>
      <c r="O63" s="63">
        <f>N63/N66</f>
        <v>0</v>
      </c>
      <c r="P63" s="15"/>
      <c r="Q63" s="15"/>
      <c r="R63" s="48"/>
    </row>
    <row r="64" spans="2:18" collapsed="1">
      <c r="B64" s="15">
        <v>8</v>
      </c>
      <c r="C64" s="82" t="str">
        <f>CONCATENATE("Variable cost"," ",N7)</f>
        <v>Variable cost Retailer in Holland</v>
      </c>
      <c r="D64" s="15"/>
      <c r="E64" s="15"/>
      <c r="F64" s="15"/>
      <c r="G64" s="15"/>
      <c r="H64" s="15"/>
      <c r="I64" s="15"/>
      <c r="J64" s="15"/>
      <c r="K64" s="15"/>
      <c r="L64" s="15"/>
      <c r="M64" s="48"/>
      <c r="N64" s="57">
        <f>SUM(N60:N63)</f>
        <v>1471.1717557251909</v>
      </c>
      <c r="O64" s="45">
        <f>N64/N66</f>
        <v>0.71030891168660293</v>
      </c>
      <c r="P64" s="15"/>
      <c r="Q64" s="15"/>
      <c r="R64" s="56"/>
    </row>
    <row r="65" spans="2:24">
      <c r="B65" s="15">
        <v>9</v>
      </c>
      <c r="C65" s="82" t="s">
        <v>13</v>
      </c>
      <c r="D65" s="15"/>
      <c r="E65" s="15"/>
      <c r="F65" s="15"/>
      <c r="G65" s="15"/>
      <c r="H65" s="15"/>
      <c r="I65" s="15"/>
      <c r="J65" s="15"/>
      <c r="K65" s="15"/>
      <c r="L65" s="46"/>
      <c r="M65" s="48"/>
      <c r="N65" s="58">
        <v>600</v>
      </c>
      <c r="O65" s="45">
        <f>N65/N66</f>
        <v>0.28969108831339707</v>
      </c>
      <c r="P65" s="15"/>
      <c r="Q65" s="15"/>
      <c r="R65" s="48"/>
    </row>
    <row r="66" spans="2:24">
      <c r="B66" s="40">
        <v>10</v>
      </c>
      <c r="C66" s="83" t="str">
        <f>CONCATENATE("Sales price"," ",N7)</f>
        <v>Sales price Retailer in Holland</v>
      </c>
      <c r="D66" s="41"/>
      <c r="E66" s="41"/>
      <c r="F66" s="41"/>
      <c r="G66" s="41"/>
      <c r="H66" s="40"/>
      <c r="I66" s="40"/>
      <c r="J66" s="41"/>
      <c r="K66" s="41"/>
      <c r="L66" s="41"/>
      <c r="M66" s="84"/>
      <c r="N66" s="59">
        <f>SUM(N64:N65)</f>
        <v>2071.1717557251909</v>
      </c>
      <c r="O66" s="63">
        <f>N66/N66</f>
        <v>1</v>
      </c>
      <c r="P66" s="15"/>
      <c r="Q66" s="15"/>
      <c r="R66" s="60">
        <f>N66/$N$66</f>
        <v>1</v>
      </c>
    </row>
    <row r="67" spans="2:24" hidden="1">
      <c r="B67" s="2">
        <v>1</v>
      </c>
      <c r="C67" s="4" t="str">
        <f>CONCATENATE("Purchase price from"," ",N7)</f>
        <v>Purchase price from Retailer in Holland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6">
        <f>N66</f>
        <v>2071.1717557251909</v>
      </c>
      <c r="Q67" s="3">
        <f>P67/$P$69</f>
        <v>1</v>
      </c>
      <c r="R67" s="3">
        <f>P67/$P$69</f>
        <v>1</v>
      </c>
    </row>
    <row r="68" spans="2:24" hidden="1">
      <c r="B68" s="2">
        <v>2</v>
      </c>
      <c r="C68" s="11" t="s">
        <v>13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5"/>
      <c r="Q68" s="14">
        <f>P68/P69</f>
        <v>0</v>
      </c>
      <c r="R68" s="3">
        <f>P68/$P$69</f>
        <v>0</v>
      </c>
    </row>
    <row r="69" spans="2:24" hidden="1">
      <c r="B69" s="8">
        <v>3</v>
      </c>
      <c r="C69" s="12" t="str">
        <f>CONCATENATE("Sales price"," ",P7)</f>
        <v xml:space="preserve">Sales price </v>
      </c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7">
        <f>SUM(P67:P68)</f>
        <v>2071.1717557251909</v>
      </c>
      <c r="Q69" s="9">
        <f>P69/P69</f>
        <v>1</v>
      </c>
      <c r="R69" s="10">
        <f>P69/$P$69</f>
        <v>1</v>
      </c>
    </row>
    <row r="71" spans="2:24">
      <c r="B71" s="15">
        <v>11</v>
      </c>
      <c r="C71" s="85" t="s">
        <v>33</v>
      </c>
      <c r="D71" s="86">
        <v>20</v>
      </c>
      <c r="E71" s="87"/>
      <c r="F71" s="86">
        <v>30</v>
      </c>
      <c r="G71" s="87"/>
      <c r="H71" s="86">
        <v>15</v>
      </c>
      <c r="I71" s="87"/>
      <c r="J71" s="86">
        <v>9</v>
      </c>
      <c r="K71" s="87"/>
      <c r="L71" s="86">
        <v>9</v>
      </c>
      <c r="M71" s="87"/>
      <c r="N71" s="86">
        <v>12</v>
      </c>
      <c r="O71" s="87"/>
      <c r="P71" s="86"/>
      <c r="Q71" s="87"/>
      <c r="R71" s="15"/>
    </row>
    <row r="72" spans="2:24">
      <c r="B72" s="15">
        <v>12</v>
      </c>
      <c r="C72" s="15" t="s">
        <v>34</v>
      </c>
      <c r="D72" s="86">
        <v>5</v>
      </c>
      <c r="E72" s="87" t="str">
        <f>E73</f>
        <v>tons</v>
      </c>
      <c r="F72" s="86">
        <v>100</v>
      </c>
      <c r="G72" s="87" t="str">
        <f>G73</f>
        <v>tons</v>
      </c>
      <c r="H72" s="86">
        <v>200</v>
      </c>
      <c r="I72" s="87" t="str">
        <f>I73</f>
        <v>tons</v>
      </c>
      <c r="J72" s="88">
        <v>1.1000000000000001</v>
      </c>
      <c r="K72" s="87" t="str">
        <f>K73</f>
        <v>tons</v>
      </c>
      <c r="L72" s="86">
        <v>222.8528181207237</v>
      </c>
      <c r="M72" s="87" t="str">
        <f>M73</f>
        <v>ton</v>
      </c>
      <c r="N72" s="86">
        <v>1400</v>
      </c>
      <c r="O72" s="87" t="str">
        <f>O73</f>
        <v>tons</v>
      </c>
      <c r="P72" s="86">
        <v>0</v>
      </c>
      <c r="Q72" s="87" t="str">
        <f>Q73</f>
        <v>tons</v>
      </c>
      <c r="R72" s="15"/>
    </row>
    <row r="73" spans="2:24" hidden="1" outlineLevel="1">
      <c r="B73" s="15">
        <v>12</v>
      </c>
      <c r="C73" s="85" t="s">
        <v>35</v>
      </c>
      <c r="D73" s="89">
        <f>D71*D72</f>
        <v>100</v>
      </c>
      <c r="E73" s="89" t="str">
        <f>CONCATENATE(D9,"s")</f>
        <v>tons</v>
      </c>
      <c r="F73" s="89">
        <f>F71*F72</f>
        <v>3000</v>
      </c>
      <c r="G73" s="89" t="str">
        <f>CONCATENATE(F9,"s")</f>
        <v>tons</v>
      </c>
      <c r="H73" s="89">
        <f>H71*H72</f>
        <v>3000</v>
      </c>
      <c r="I73" s="89" t="str">
        <f>CONCATENATE(H9,"s")</f>
        <v>tons</v>
      </c>
      <c r="J73" s="89">
        <f>J71*J72</f>
        <v>9.9</v>
      </c>
      <c r="K73" s="89" t="str">
        <f>CONCATENATE(J9,"s")</f>
        <v>tons</v>
      </c>
      <c r="L73" s="89">
        <f>L71*L72</f>
        <v>2005.6753630865132</v>
      </c>
      <c r="M73" s="89" t="str">
        <f>L9</f>
        <v>ton</v>
      </c>
      <c r="N73" s="89">
        <f>N71*N72</f>
        <v>16800</v>
      </c>
      <c r="O73" s="89" t="str">
        <f>CONCATENATE(N9,"s")</f>
        <v>tons</v>
      </c>
      <c r="P73" s="89">
        <f>P71*P72</f>
        <v>0</v>
      </c>
      <c r="Q73" s="89" t="str">
        <f>CONCATENATE(P9,"s")</f>
        <v>tons</v>
      </c>
      <c r="R73" s="15"/>
      <c r="V73" s="1"/>
      <c r="W73" s="1"/>
      <c r="X73" s="1"/>
    </row>
    <row r="74" spans="2:24" hidden="1" outlineLevel="1">
      <c r="B74" s="15">
        <v>13</v>
      </c>
      <c r="C74" s="15" t="s">
        <v>2</v>
      </c>
      <c r="D74" s="86">
        <v>26</v>
      </c>
      <c r="E74" s="87"/>
      <c r="F74" s="86">
        <v>26</v>
      </c>
      <c r="G74" s="87"/>
      <c r="H74" s="86">
        <v>26</v>
      </c>
      <c r="I74" s="87"/>
      <c r="J74" s="86">
        <v>26</v>
      </c>
      <c r="K74" s="87"/>
      <c r="L74" s="86">
        <v>26</v>
      </c>
      <c r="M74" s="87"/>
      <c r="N74" s="86">
        <v>26</v>
      </c>
      <c r="O74" s="87"/>
      <c r="P74" s="86">
        <v>0</v>
      </c>
      <c r="Q74" s="87"/>
      <c r="R74" s="15"/>
      <c r="V74" s="1"/>
      <c r="W74" s="1"/>
      <c r="X74" s="1"/>
    </row>
    <row r="75" spans="2:24" hidden="1" outlineLevel="1">
      <c r="B75" s="15">
        <v>14</v>
      </c>
      <c r="C75" s="21" t="s">
        <v>19</v>
      </c>
      <c r="D75" s="86">
        <v>12</v>
      </c>
      <c r="E75" s="87"/>
      <c r="F75" s="86">
        <v>12</v>
      </c>
      <c r="G75" s="87"/>
      <c r="H75" s="86">
        <v>12</v>
      </c>
      <c r="I75" s="87"/>
      <c r="J75" s="86">
        <v>12</v>
      </c>
      <c r="K75" s="87"/>
      <c r="L75" s="86">
        <v>12</v>
      </c>
      <c r="M75" s="87"/>
      <c r="N75" s="86">
        <v>12</v>
      </c>
      <c r="O75" s="87"/>
      <c r="P75" s="86">
        <v>0</v>
      </c>
      <c r="Q75" s="87"/>
      <c r="R75" s="15"/>
      <c r="V75" s="1"/>
      <c r="W75" s="1"/>
      <c r="X75" s="1"/>
    </row>
    <row r="76" spans="2:24" collapsed="1">
      <c r="B76" s="40">
        <v>13</v>
      </c>
      <c r="C76" s="90" t="s">
        <v>41</v>
      </c>
      <c r="D76" s="91">
        <f>D73*D74*D75</f>
        <v>31200</v>
      </c>
      <c r="E76" s="92" t="str">
        <f>E73</f>
        <v>tons</v>
      </c>
      <c r="F76" s="91">
        <f>F73*F74*F75</f>
        <v>936000</v>
      </c>
      <c r="G76" s="92" t="str">
        <f>G73</f>
        <v>tons</v>
      </c>
      <c r="H76" s="91">
        <f>H73*H74*H75</f>
        <v>936000</v>
      </c>
      <c r="I76" s="92" t="str">
        <f>I73</f>
        <v>tons</v>
      </c>
      <c r="J76" s="91">
        <f>J73*J74*J75</f>
        <v>3088.8</v>
      </c>
      <c r="K76" s="92" t="str">
        <f>K73</f>
        <v>tons</v>
      </c>
      <c r="L76" s="91">
        <f>L73*L74*L75</f>
        <v>625770.71328299213</v>
      </c>
      <c r="M76" s="92" t="str">
        <f>M73</f>
        <v>ton</v>
      </c>
      <c r="N76" s="91">
        <f>N73*N74*N75</f>
        <v>5241600</v>
      </c>
      <c r="O76" s="92" t="str">
        <f>O73</f>
        <v>tons</v>
      </c>
      <c r="P76" s="91">
        <f>P73*P74*P75</f>
        <v>0</v>
      </c>
      <c r="Q76" s="92" t="str">
        <f>Q73</f>
        <v>tons</v>
      </c>
      <c r="R76" s="40"/>
      <c r="V76" s="1"/>
      <c r="W76" s="1"/>
      <c r="X76" s="1"/>
    </row>
    <row r="77" spans="2:24">
      <c r="B77" s="15">
        <v>14</v>
      </c>
      <c r="C77" s="18" t="s">
        <v>21</v>
      </c>
      <c r="D77" s="93">
        <v>20000</v>
      </c>
      <c r="E77" s="85" t="str">
        <f>E73</f>
        <v>tons</v>
      </c>
      <c r="F77" s="89">
        <f>D77/F20</f>
        <v>20000</v>
      </c>
      <c r="G77" s="85" t="str">
        <f>G73</f>
        <v>tons</v>
      </c>
      <c r="H77" s="89">
        <f>F77/H32</f>
        <v>7142.8571428571431</v>
      </c>
      <c r="I77" s="85" t="str">
        <f>I73</f>
        <v>tons</v>
      </c>
      <c r="J77" s="89">
        <f>H77/J41</f>
        <v>7142.8571428571431</v>
      </c>
      <c r="K77" s="85" t="str">
        <f>K73</f>
        <v>tons</v>
      </c>
      <c r="L77" s="89">
        <f>J77/L50</f>
        <v>9597.0695970695979</v>
      </c>
      <c r="M77" s="85" t="str">
        <f>M73</f>
        <v>ton</v>
      </c>
      <c r="N77" s="89">
        <f>L77/N59</f>
        <v>9597.0695970695979</v>
      </c>
      <c r="O77" s="85" t="str">
        <f>O73</f>
        <v>tons</v>
      </c>
      <c r="P77" s="93">
        <v>0</v>
      </c>
      <c r="Q77" s="85" t="str">
        <f>Q73</f>
        <v>tons</v>
      </c>
      <c r="R77" s="15"/>
      <c r="V77" s="1"/>
      <c r="W77" s="1"/>
      <c r="X77" s="1"/>
    </row>
    <row r="78" spans="2:24">
      <c r="B78" s="28">
        <v>15</v>
      </c>
      <c r="C78" s="35" t="s">
        <v>22</v>
      </c>
      <c r="D78" s="45">
        <f>D77/D76</f>
        <v>0.64102564102564108</v>
      </c>
      <c r="E78" s="28"/>
      <c r="F78" s="45">
        <f>F77/F76</f>
        <v>2.1367521367521368E-2</v>
      </c>
      <c r="G78" s="28"/>
      <c r="H78" s="45">
        <f>H77/H76</f>
        <v>7.6312576312576319E-3</v>
      </c>
      <c r="I78" s="28"/>
      <c r="J78" s="45">
        <f>J77/J76</f>
        <v>2.3125023125023123</v>
      </c>
      <c r="K78" s="28"/>
      <c r="L78" s="45">
        <f>L77/L76</f>
        <v>1.5336399408531471E-2</v>
      </c>
      <c r="M78" s="28"/>
      <c r="N78" s="45">
        <f>N77/N76</f>
        <v>1.8309427650086993E-3</v>
      </c>
      <c r="O78" s="28"/>
      <c r="P78" s="45" t="e">
        <f>P77/P76</f>
        <v>#DIV/0!</v>
      </c>
      <c r="Q78" s="28"/>
      <c r="R78" s="28"/>
      <c r="V78" s="1"/>
      <c r="W78" s="1"/>
      <c r="X78" s="1"/>
    </row>
    <row r="79" spans="2:24">
      <c r="B79" s="15">
        <v>18</v>
      </c>
      <c r="C79" s="21" t="s">
        <v>16</v>
      </c>
      <c r="D79" s="94">
        <f>D17</f>
        <v>50</v>
      </c>
      <c r="E79" s="87"/>
      <c r="F79" s="94">
        <f>F26</f>
        <v>8</v>
      </c>
      <c r="G79" s="87"/>
      <c r="H79" s="94">
        <f>H38</f>
        <v>100</v>
      </c>
      <c r="I79" s="87"/>
      <c r="J79" s="94">
        <f>J47</f>
        <v>200</v>
      </c>
      <c r="K79" s="87"/>
      <c r="L79" s="95">
        <f>L56</f>
        <v>200</v>
      </c>
      <c r="M79" s="87"/>
      <c r="N79" s="94">
        <f>N65</f>
        <v>600</v>
      </c>
      <c r="O79" s="87"/>
      <c r="P79" s="94">
        <f>P68</f>
        <v>0</v>
      </c>
      <c r="Q79" s="87"/>
      <c r="R79" s="15"/>
      <c r="V79" s="1"/>
      <c r="W79" s="1"/>
      <c r="X79" s="1"/>
    </row>
    <row r="80" spans="2:24">
      <c r="B80" s="15">
        <v>19</v>
      </c>
      <c r="C80" s="85" t="s">
        <v>32</v>
      </c>
      <c r="D80" s="45">
        <f>D79/D89</f>
        <v>0.94339622641509435</v>
      </c>
      <c r="E80" s="87"/>
      <c r="F80" s="45">
        <f>F79/F89</f>
        <v>0.1103448275862069</v>
      </c>
      <c r="G80" s="87"/>
      <c r="H80" s="45">
        <f>H79/H89</f>
        <v>0.16286644951140064</v>
      </c>
      <c r="I80" s="87"/>
      <c r="J80" s="45">
        <f>J79/J89</f>
        <v>0.17406440382941687</v>
      </c>
      <c r="K80" s="87"/>
      <c r="L80" s="45">
        <f>L79/L89</f>
        <v>0.13594605743461488</v>
      </c>
      <c r="M80" s="87"/>
      <c r="N80" s="45">
        <f>N79/N89</f>
        <v>0.28969108831339707</v>
      </c>
      <c r="O80" s="87"/>
      <c r="P80" s="45">
        <f>P79/P89</f>
        <v>0</v>
      </c>
      <c r="Q80" s="87"/>
      <c r="R80" s="45">
        <f>R81/R90</f>
        <v>0.22364037057539454</v>
      </c>
      <c r="V80" s="1"/>
      <c r="W80" s="1"/>
      <c r="X80" s="1"/>
    </row>
    <row r="81" spans="2:24">
      <c r="B81" s="40">
        <v>16</v>
      </c>
      <c r="C81" s="41" t="s">
        <v>30</v>
      </c>
      <c r="D81" s="96">
        <f>D79*D77/1000</f>
        <v>1000</v>
      </c>
      <c r="E81" s="40"/>
      <c r="F81" s="96">
        <f>F79*F77/1000</f>
        <v>160</v>
      </c>
      <c r="G81" s="40"/>
      <c r="H81" s="96">
        <f>H79*H77/1000</f>
        <v>714.28571428571433</v>
      </c>
      <c r="I81" s="40"/>
      <c r="J81" s="96">
        <f>J79*J77/1000</f>
        <v>1428.5714285714287</v>
      </c>
      <c r="K81" s="40"/>
      <c r="L81" s="96">
        <f>L79*L77/1000</f>
        <v>1919.4139194139195</v>
      </c>
      <c r="M81" s="40"/>
      <c r="N81" s="96">
        <f>N79*N77/1000</f>
        <v>5758.2417582417584</v>
      </c>
      <c r="O81" s="40"/>
      <c r="P81" s="96">
        <f>P79*P77/1000</f>
        <v>0</v>
      </c>
      <c r="Q81" s="40"/>
      <c r="R81" s="96">
        <f>SUM(D81:P81)</f>
        <v>10980.51282051282</v>
      </c>
      <c r="V81" s="1"/>
      <c r="W81" s="1"/>
      <c r="X81" s="1"/>
    </row>
    <row r="82" spans="2:24" hidden="1" outlineLevel="1">
      <c r="B82" s="15">
        <v>17</v>
      </c>
      <c r="C82" s="85" t="s">
        <v>60</v>
      </c>
      <c r="D82" s="93">
        <v>0</v>
      </c>
      <c r="E82" s="97">
        <f>D82/D$85</f>
        <v>0</v>
      </c>
      <c r="F82" s="93">
        <v>100</v>
      </c>
      <c r="G82" s="97">
        <f>F82/F$85</f>
        <v>0.67567567567567566</v>
      </c>
      <c r="H82" s="93">
        <f>5000*7/1000</f>
        <v>35</v>
      </c>
      <c r="I82" s="97">
        <f>H82/H$85</f>
        <v>0.22935779816513763</v>
      </c>
      <c r="J82" s="93">
        <f>90000/1000</f>
        <v>90</v>
      </c>
      <c r="K82" s="97">
        <f>J82/J$85</f>
        <v>0.2847200253084467</v>
      </c>
      <c r="L82" s="93">
        <f>2000000*2/1000</f>
        <v>4000</v>
      </c>
      <c r="M82" s="97">
        <f>L82/L$85</f>
        <v>0.50586806960744635</v>
      </c>
      <c r="N82" s="93">
        <f>175000*25/1000</f>
        <v>4375</v>
      </c>
      <c r="O82" s="97">
        <f>N82/N$85</f>
        <v>0.36842105263157893</v>
      </c>
      <c r="P82" s="93">
        <v>0</v>
      </c>
      <c r="Q82" s="97" t="e">
        <f>P82/P$85</f>
        <v>#DIV/0!</v>
      </c>
      <c r="R82" s="89">
        <f t="shared" ref="R82:R91" si="3">SUM(D82:P82)</f>
        <v>8602.0640426213886</v>
      </c>
      <c r="V82" s="1"/>
      <c r="W82" s="1"/>
      <c r="X82" s="1"/>
    </row>
    <row r="83" spans="2:24" hidden="1" outlineLevel="1">
      <c r="B83" s="15">
        <v>18</v>
      </c>
      <c r="C83" s="21" t="s">
        <v>17</v>
      </c>
      <c r="D83" s="93">
        <v>0</v>
      </c>
      <c r="E83" s="98">
        <f t="shared" ref="E83:G85" si="4">D83/D$85</f>
        <v>0</v>
      </c>
      <c r="F83" s="93">
        <f>40%*F82/10%*12%</f>
        <v>48</v>
      </c>
      <c r="G83" s="98">
        <f t="shared" si="4"/>
        <v>0.32432432432432434</v>
      </c>
      <c r="H83" s="93">
        <f>40%*H82/10%*12%</f>
        <v>16.8</v>
      </c>
      <c r="I83" s="98">
        <f t="shared" ref="I83" si="5">H83/H$85</f>
        <v>0.11009174311926606</v>
      </c>
      <c r="J83" s="93">
        <f>40%*J82/10%*12%</f>
        <v>43.199999999999996</v>
      </c>
      <c r="K83" s="98">
        <f t="shared" ref="K83" si="6">J83/J$85</f>
        <v>0.13666561214805439</v>
      </c>
      <c r="L83" s="93">
        <f>40%*L82/10%*12%</f>
        <v>1920</v>
      </c>
      <c r="M83" s="98">
        <f t="shared" ref="M83" si="7">L83/L$85</f>
        <v>0.24281667341157426</v>
      </c>
      <c r="N83" s="93">
        <f>40%*N82/10%*12%</f>
        <v>2100</v>
      </c>
      <c r="O83" s="98">
        <f t="shared" ref="O83" si="8">N83/N$85</f>
        <v>0.17684210526315788</v>
      </c>
      <c r="P83" s="93">
        <v>0</v>
      </c>
      <c r="Q83" s="98" t="e">
        <f t="shared" ref="Q83" si="9">P83/P$85</f>
        <v>#DIV/0!</v>
      </c>
      <c r="R83" s="89">
        <f t="shared" si="3"/>
        <v>4128.9907404582664</v>
      </c>
      <c r="V83" s="1"/>
      <c r="W83" s="1"/>
      <c r="X83" s="1"/>
    </row>
    <row r="84" spans="2:24" hidden="1" outlineLevel="1">
      <c r="B84" s="15">
        <v>19</v>
      </c>
      <c r="C84" s="21" t="s">
        <v>18</v>
      </c>
      <c r="D84" s="93">
        <v>100</v>
      </c>
      <c r="E84" s="98">
        <f t="shared" si="4"/>
        <v>1</v>
      </c>
      <c r="F84" s="93">
        <v>0</v>
      </c>
      <c r="G84" s="98">
        <f t="shared" si="4"/>
        <v>0</v>
      </c>
      <c r="H84" s="93">
        <f>14400*7/1000</f>
        <v>100.8</v>
      </c>
      <c r="I84" s="98">
        <f t="shared" ref="I84" si="10">H84/H$85</f>
        <v>0.66055045871559637</v>
      </c>
      <c r="J84" s="93">
        <f>182900/1000</f>
        <v>182.9</v>
      </c>
      <c r="K84" s="98">
        <f t="shared" ref="K84" si="11">J84/J$85</f>
        <v>0.57861436254349885</v>
      </c>
      <c r="L84" s="93">
        <f>993600*2/1000</f>
        <v>1987.2</v>
      </c>
      <c r="M84" s="98">
        <f t="shared" ref="M84" si="12">L84/L$85</f>
        <v>0.2513152569809794</v>
      </c>
      <c r="N84" s="93">
        <f>216000*25/1000</f>
        <v>5400</v>
      </c>
      <c r="O84" s="98">
        <f t="shared" ref="O84" si="13">N84/N$85</f>
        <v>0.45473684210526316</v>
      </c>
      <c r="P84" s="93">
        <v>0</v>
      </c>
      <c r="Q84" s="98" t="e">
        <f t="shared" ref="Q84" si="14">P84/P$85</f>
        <v>#DIV/0!</v>
      </c>
      <c r="R84" s="89">
        <f t="shared" si="3"/>
        <v>7773.8452169203456</v>
      </c>
      <c r="V84" s="1"/>
      <c r="W84" s="1"/>
      <c r="X84" s="1"/>
    </row>
    <row r="85" spans="2:24" collapsed="1">
      <c r="B85" s="90">
        <v>20</v>
      </c>
      <c r="C85" s="41" t="s">
        <v>36</v>
      </c>
      <c r="D85" s="96">
        <f>SUM(D82:D84)</f>
        <v>100</v>
      </c>
      <c r="E85" s="99">
        <f t="shared" si="4"/>
        <v>1</v>
      </c>
      <c r="F85" s="96">
        <f>SUM(F82:F84)</f>
        <v>148</v>
      </c>
      <c r="G85" s="99">
        <f t="shared" si="4"/>
        <v>1</v>
      </c>
      <c r="H85" s="96">
        <f>SUM(H82:H84)</f>
        <v>152.6</v>
      </c>
      <c r="I85" s="99">
        <f t="shared" ref="I85" si="15">H85/H$85</f>
        <v>1</v>
      </c>
      <c r="J85" s="96">
        <f>SUM(J82:J84)</f>
        <v>316.10000000000002</v>
      </c>
      <c r="K85" s="99">
        <f t="shared" ref="K85" si="16">J85/J$85</f>
        <v>1</v>
      </c>
      <c r="L85" s="96">
        <f>SUM(L82:L84)</f>
        <v>7907.2</v>
      </c>
      <c r="M85" s="99">
        <f t="shared" ref="M85" si="17">L85/L$85</f>
        <v>1</v>
      </c>
      <c r="N85" s="96">
        <f>SUM(N82:N84)</f>
        <v>11875</v>
      </c>
      <c r="O85" s="99">
        <f t="shared" ref="O85" si="18">N85/N$85</f>
        <v>1</v>
      </c>
      <c r="P85" s="96">
        <f>SUM(P82:P84)</f>
        <v>0</v>
      </c>
      <c r="Q85" s="99" t="e">
        <f t="shared" ref="Q85" si="19">P85/P$85</f>
        <v>#DIV/0!</v>
      </c>
      <c r="R85" s="96">
        <f t="shared" si="3"/>
        <v>20504.900000000001</v>
      </c>
      <c r="V85" s="1"/>
      <c r="W85" s="1"/>
      <c r="X85" s="1"/>
    </row>
    <row r="86" spans="2:24">
      <c r="B86" s="52">
        <v>21</v>
      </c>
      <c r="C86" s="52" t="s">
        <v>38</v>
      </c>
      <c r="D86" s="100">
        <f>D85/D77*1000</f>
        <v>5</v>
      </c>
      <c r="E86" s="97">
        <f>D86/D$88</f>
        <v>0.625</v>
      </c>
      <c r="F86" s="100">
        <f t="shared" ref="F86" si="20">F85/F77*1000</f>
        <v>7.4</v>
      </c>
      <c r="G86" s="97">
        <f t="shared" ref="G86" si="21">F86/F$88</f>
        <v>0.10292072322670376</v>
      </c>
      <c r="H86" s="101">
        <f t="shared" ref="H86" si="22">H85/H77*1000</f>
        <v>21.363999999999997</v>
      </c>
      <c r="I86" s="97">
        <f t="shared" ref="I86" si="23">H86/H$88</f>
        <v>3.9905559581891938E-2</v>
      </c>
      <c r="J86" s="100">
        <f t="shared" ref="J86" si="24">J85/J77*1000</f>
        <v>44.254000000000005</v>
      </c>
      <c r="K86" s="97">
        <f t="shared" ref="K86" si="25">J86/J$88</f>
        <v>4.4554565096138553E-2</v>
      </c>
      <c r="L86" s="102">
        <f>L85*1000/L77</f>
        <v>823.91816793893122</v>
      </c>
      <c r="M86" s="97">
        <f t="shared" ref="M86" si="26">L86/L$88</f>
        <v>0.39326148182602738</v>
      </c>
      <c r="N86" s="101">
        <f t="shared" ref="N86" si="27">N85/N77*1000</f>
        <v>1237.3568702290074</v>
      </c>
      <c r="O86" s="97">
        <f t="shared" ref="O86" si="28">N86/N$88</f>
        <v>0.45683728736412899</v>
      </c>
      <c r="P86" s="100" t="e">
        <f t="shared" ref="P86" si="29">P85/P77*1000</f>
        <v>#DIV/0!</v>
      </c>
      <c r="Q86" s="97" t="e">
        <f t="shared" ref="Q86" si="30">P86/P$88</f>
        <v>#DIV/0!</v>
      </c>
      <c r="R86" s="103"/>
      <c r="V86" s="1"/>
      <c r="W86" s="1"/>
      <c r="X86" s="1"/>
    </row>
    <row r="87" spans="2:24">
      <c r="B87" s="52">
        <v>22</v>
      </c>
      <c r="C87" s="52" t="s">
        <v>39</v>
      </c>
      <c r="D87" s="100">
        <f>D16</f>
        <v>3</v>
      </c>
      <c r="E87" s="98">
        <f t="shared" ref="E87:E88" si="31">D87/D$88</f>
        <v>0.375</v>
      </c>
      <c r="F87" s="100">
        <f>F25</f>
        <v>64.5</v>
      </c>
      <c r="G87" s="98">
        <f t="shared" ref="G87" si="32">F87/F$88</f>
        <v>0.89707927677329613</v>
      </c>
      <c r="H87" s="101">
        <f>H37</f>
        <v>514</v>
      </c>
      <c r="I87" s="98">
        <f t="shared" ref="I87" si="33">H87/H$88</f>
        <v>0.96009444041810799</v>
      </c>
      <c r="J87" s="100">
        <f>J46</f>
        <v>949</v>
      </c>
      <c r="K87" s="98">
        <f t="shared" ref="K87" si="34">J87/J$88</f>
        <v>0.95544543490386147</v>
      </c>
      <c r="L87" s="102">
        <f>L55</f>
        <v>1271.1717557251909</v>
      </c>
      <c r="M87" s="98">
        <f t="shared" ref="M87" si="35">L87/L$88</f>
        <v>0.60673851817397262</v>
      </c>
      <c r="N87" s="101">
        <f>N64</f>
        <v>1471.1717557251909</v>
      </c>
      <c r="O87" s="98">
        <f t="shared" ref="O87" si="36">N87/N$88</f>
        <v>0.54316271263587113</v>
      </c>
      <c r="P87" s="100">
        <f>P67</f>
        <v>2071.1717557251909</v>
      </c>
      <c r="Q87" s="98" t="e">
        <f t="shared" ref="Q87" si="37">P87/P$88</f>
        <v>#DIV/0!</v>
      </c>
      <c r="R87" s="103"/>
      <c r="V87" s="1"/>
      <c r="W87" s="1"/>
      <c r="X87" s="1"/>
    </row>
    <row r="88" spans="2:24">
      <c r="B88" s="90">
        <v>23</v>
      </c>
      <c r="C88" s="90" t="s">
        <v>40</v>
      </c>
      <c r="D88" s="104">
        <f>D86+D87</f>
        <v>8</v>
      </c>
      <c r="E88" s="99">
        <f t="shared" si="31"/>
        <v>1</v>
      </c>
      <c r="F88" s="104">
        <f t="shared" ref="F88" si="38">F86+F87</f>
        <v>71.900000000000006</v>
      </c>
      <c r="G88" s="99">
        <f t="shared" ref="G88" si="39">F88/F$88</f>
        <v>1</v>
      </c>
      <c r="H88" s="105">
        <f t="shared" ref="H88" si="40">H86+H87</f>
        <v>535.36400000000003</v>
      </c>
      <c r="I88" s="99">
        <f t="shared" ref="I88" si="41">H88/H$88</f>
        <v>1</v>
      </c>
      <c r="J88" s="104">
        <f t="shared" ref="J88" si="42">J86+J87</f>
        <v>993.25400000000002</v>
      </c>
      <c r="K88" s="99">
        <f t="shared" ref="K88" si="43">J88/J$88</f>
        <v>1</v>
      </c>
      <c r="L88" s="106">
        <f t="shared" ref="L88" si="44">L86+L87</f>
        <v>2095.0899236641221</v>
      </c>
      <c r="M88" s="99">
        <f t="shared" ref="M88" si="45">L88/L$88</f>
        <v>1</v>
      </c>
      <c r="N88" s="105">
        <f t="shared" ref="N88" si="46">N86+N87</f>
        <v>2708.5286259541981</v>
      </c>
      <c r="O88" s="99">
        <f t="shared" ref="O88" si="47">N88/N$88</f>
        <v>1</v>
      </c>
      <c r="P88" s="104" t="e">
        <f t="shared" ref="P88" si="48">P86+P87</f>
        <v>#DIV/0!</v>
      </c>
      <c r="Q88" s="99" t="e">
        <f t="shared" ref="Q88" si="49">P88/P$88</f>
        <v>#DIV/0!</v>
      </c>
      <c r="R88" s="96"/>
      <c r="V88" s="1"/>
      <c r="W88" s="1"/>
      <c r="X88" s="1"/>
    </row>
    <row r="89" spans="2:24">
      <c r="B89" s="15">
        <v>24</v>
      </c>
      <c r="C89" s="85" t="s">
        <v>31</v>
      </c>
      <c r="D89" s="94">
        <f>D18</f>
        <v>53</v>
      </c>
      <c r="E89" s="85" t="str">
        <f>CONCATENATE("/"," ",D9)</f>
        <v>/ ton</v>
      </c>
      <c r="F89" s="94">
        <f>F30</f>
        <v>72.5</v>
      </c>
      <c r="G89" s="85" t="str">
        <f>CONCATENATE("/"," ",F9)</f>
        <v>/ ton</v>
      </c>
      <c r="H89" s="107">
        <f>H39</f>
        <v>614</v>
      </c>
      <c r="I89" s="85" t="str">
        <f>CONCATENATE("/"," ",H9)</f>
        <v>/ ton</v>
      </c>
      <c r="J89" s="94">
        <f>J48</f>
        <v>1149</v>
      </c>
      <c r="K89" s="85" t="str">
        <f>CONCATENATE("/"," ",J9)</f>
        <v>/ ton</v>
      </c>
      <c r="L89" s="95">
        <f>L57</f>
        <v>1471.1717557251909</v>
      </c>
      <c r="M89" s="85" t="str">
        <f>CONCATENATE("/"," ",L9)</f>
        <v>/ ton</v>
      </c>
      <c r="N89" s="107">
        <f>N66</f>
        <v>2071.1717557251909</v>
      </c>
      <c r="O89" s="85" t="str">
        <f>CONCATENATE("/"," ",N9)</f>
        <v>/ ton</v>
      </c>
      <c r="P89" s="94">
        <f>P69</f>
        <v>2071.1717557251909</v>
      </c>
      <c r="Q89" s="85" t="str">
        <f>CONCATENATE("/"," ",P9)</f>
        <v>/ ton</v>
      </c>
      <c r="R89" s="108"/>
      <c r="V89" s="1"/>
      <c r="W89" s="1"/>
      <c r="X89" s="1"/>
    </row>
    <row r="90" spans="2:24">
      <c r="B90" s="40">
        <v>25</v>
      </c>
      <c r="C90" s="41" t="s">
        <v>29</v>
      </c>
      <c r="D90" s="96">
        <f>D77*D18/1000</f>
        <v>1060</v>
      </c>
      <c r="E90" s="40"/>
      <c r="F90" s="96">
        <f>F77*F30/1000</f>
        <v>1450</v>
      </c>
      <c r="G90" s="40"/>
      <c r="H90" s="96">
        <f>H77*H39/1000</f>
        <v>4385.7142857142853</v>
      </c>
      <c r="I90" s="40"/>
      <c r="J90" s="96">
        <f>J77*J48/1000</f>
        <v>8207.1428571428569</v>
      </c>
      <c r="K90" s="40"/>
      <c r="L90" s="96">
        <f>L77*L57/1000</f>
        <v>14118.93772893773</v>
      </c>
      <c r="M90" s="40"/>
      <c r="N90" s="96">
        <f>N77*N66/1000</f>
        <v>19877.179487179488</v>
      </c>
      <c r="O90" s="40"/>
      <c r="P90" s="96">
        <f>P77*P69/1000</f>
        <v>0</v>
      </c>
      <c r="Q90" s="40"/>
      <c r="R90" s="96">
        <f>SUM(D90:P90)</f>
        <v>49098.974358974359</v>
      </c>
      <c r="V90" s="1"/>
      <c r="W90" s="1"/>
      <c r="X90" s="1"/>
    </row>
    <row r="91" spans="2:24">
      <c r="B91" s="15">
        <v>26</v>
      </c>
      <c r="C91" s="18" t="s">
        <v>20</v>
      </c>
      <c r="D91" s="109">
        <f>D81-D85</f>
        <v>900</v>
      </c>
      <c r="E91" s="110"/>
      <c r="F91" s="109">
        <f>F81-F85</f>
        <v>12</v>
      </c>
      <c r="G91" s="110"/>
      <c r="H91" s="109">
        <f>H81-H85</f>
        <v>561.68571428571431</v>
      </c>
      <c r="I91" s="110"/>
      <c r="J91" s="109">
        <f>J81-J85</f>
        <v>1112.4714285714285</v>
      </c>
      <c r="K91" s="110"/>
      <c r="L91" s="109">
        <f>L81-L85</f>
        <v>-5987.7860805860801</v>
      </c>
      <c r="M91" s="110"/>
      <c r="N91" s="109">
        <f>N81-N85</f>
        <v>-6116.7582417582416</v>
      </c>
      <c r="O91" s="110"/>
      <c r="P91" s="109">
        <f>P81-P85</f>
        <v>0</v>
      </c>
      <c r="Q91" s="15"/>
      <c r="R91" s="108">
        <f t="shared" si="3"/>
        <v>-9518.3871794871793</v>
      </c>
      <c r="V91" s="1"/>
      <c r="W91" s="1"/>
      <c r="X91" s="1"/>
    </row>
  </sheetData>
  <conditionalFormatting sqref="J78 L78 N78 P78 D78 F78 H78">
    <cfRule type="cellIs" dxfId="5" priority="244" operator="lessThanOrEqual">
      <formula>0.3</formula>
    </cfRule>
    <cfRule type="cellIs" dxfId="4" priority="245" operator="between">
      <formula>0.3</formula>
      <formula>0.7</formula>
    </cfRule>
    <cfRule type="cellIs" dxfId="3" priority="246" operator="greaterThanOrEqual">
      <formula>0.7</formula>
    </cfRule>
  </conditionalFormatting>
  <conditionalFormatting sqref="D80 F80 H80 J80 L80 N80 P80 R80 O65 Q68 M56 I38 G26 E17 K47">
    <cfRule type="cellIs" dxfId="2" priority="202" stopIfTrue="1" operator="greaterThanOrEqual">
      <formula>0.3</formula>
    </cfRule>
    <cfRule type="cellIs" dxfId="1" priority="203" stopIfTrue="1" operator="between">
      <formula>0.1</formula>
      <formula>0.2999999999</formula>
    </cfRule>
    <cfRule type="cellIs" dxfId="0" priority="204" operator="lessThan">
      <formula>0.1</formula>
    </cfRule>
  </conditionalFormatting>
  <printOptions horizontalCentered="1"/>
  <pageMargins left="0.75" right="0.75" top="1" bottom="1" header="0.5" footer="0.5"/>
  <pageSetup paperSize="9" scale="86" orientation="landscape" verticalDpi="360" r:id="rId1"/>
  <headerFooter alignWithMargins="0">
    <oddHeader>&amp;C&amp;"Arial,Bold"&amp;20&amp;A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CB5 Mango juice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Olivier van Lieshout</dc:creator>
  <cp:lastModifiedBy>Olivier</cp:lastModifiedBy>
  <dcterms:created xsi:type="dcterms:W3CDTF">2011-04-11T18:48:42Z</dcterms:created>
  <dcterms:modified xsi:type="dcterms:W3CDTF">2013-05-24T10:57:00Z</dcterms:modified>
</cp:coreProperties>
</file>