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\Google Drive\BI Projects\BI Nigeria\BI Nigeria Cassava Flour\"/>
    </mc:Choice>
  </mc:AlternateContent>
  <bookViews>
    <workbookView xWindow="0" yWindow="0" windowWidth="23040" windowHeight="10332" xr2:uid="{BEC881B9-BBB1-41EC-A1B4-FFE6A1B4A0AC}"/>
  </bookViews>
  <sheets>
    <sheet name="CB1 Cassava farm" sheetId="1" r:id="rId1"/>
    <sheet name="CB1 Cassava Flour" sheetId="2" r:id="rId2"/>
    <sheet name="PR Flour" sheetId="3" r:id="rId3"/>
    <sheet name="Cassava-Wheat Flour Mix" sheetId="4" r:id="rId4"/>
  </sheets>
  <externalReferences>
    <externalReference r:id="rId5"/>
    <externalReference r:id="rId6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ROE" localSheetId="3">'Cassava-Wheat Flour Mix'!$H$2</definedName>
    <definedName name="ROE">'CB1 Cassava farm'!$N$2</definedName>
    <definedName name="ROE_2">'Cassava-Wheat Flour Mix'!$Q$2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E7" i="4" s="1"/>
  <c r="F5" i="4" s="1"/>
  <c r="E11" i="4"/>
  <c r="E13" i="4" s="1"/>
  <c r="F12" i="4" s="1"/>
  <c r="D5" i="4"/>
  <c r="C5" i="4" s="1"/>
  <c r="G2" i="4"/>
  <c r="D4" i="4"/>
  <c r="C4" i="4" s="1"/>
  <c r="G4" i="4"/>
  <c r="M4" i="4"/>
  <c r="M10" i="4" s="1"/>
  <c r="P10" i="4" s="1"/>
  <c r="L5" i="4"/>
  <c r="N5" i="4"/>
  <c r="D6" i="4"/>
  <c r="C6" i="4" s="1"/>
  <c r="M6" i="4"/>
  <c r="P6" i="4" s="1"/>
  <c r="D10" i="4"/>
  <c r="G10" i="4"/>
  <c r="M11" i="4"/>
  <c r="N11" i="4"/>
  <c r="N13" i="4" s="1"/>
  <c r="O10" i="4" s="1"/>
  <c r="M12" i="4"/>
  <c r="P12" i="4" s="1"/>
  <c r="D16" i="4"/>
  <c r="D17" i="4"/>
  <c r="E17" i="4"/>
  <c r="E19" i="4" s="1"/>
  <c r="M17" i="4"/>
  <c r="N17" i="4"/>
  <c r="D18" i="4"/>
  <c r="G18" i="4" s="1"/>
  <c r="M18" i="4"/>
  <c r="P18" i="4" s="1"/>
  <c r="N19" i="4"/>
  <c r="O16" i="4" s="1"/>
  <c r="D22" i="4"/>
  <c r="G22" i="4" s="1"/>
  <c r="D23" i="4"/>
  <c r="E23" i="4"/>
  <c r="E25" i="4" s="1"/>
  <c r="M23" i="4"/>
  <c r="P23" i="4" s="1"/>
  <c r="N23" i="4"/>
  <c r="D24" i="4"/>
  <c r="G24" i="4" s="1"/>
  <c r="O24" i="4"/>
  <c r="N25" i="4"/>
  <c r="O22" i="4" s="1"/>
  <c r="D28" i="4"/>
  <c r="G28" i="4" s="1"/>
  <c r="D29" i="4"/>
  <c r="E29" i="4"/>
  <c r="E31" i="4" s="1"/>
  <c r="M29" i="4"/>
  <c r="N29" i="4"/>
  <c r="N31" i="4" s="1"/>
  <c r="D30" i="4"/>
  <c r="G30" i="4" s="1"/>
  <c r="G16" i="4" l="1"/>
  <c r="G19" i="4" s="1"/>
  <c r="M30" i="4"/>
  <c r="P30" i="4" s="1"/>
  <c r="M24" i="4"/>
  <c r="P24" i="4" s="1"/>
  <c r="O18" i="4"/>
  <c r="P17" i="4"/>
  <c r="F18" i="4"/>
  <c r="F16" i="4"/>
  <c r="O28" i="4"/>
  <c r="O30" i="4"/>
  <c r="O31" i="4" s="1"/>
  <c r="F24" i="4"/>
  <c r="F22" i="4"/>
  <c r="F25" i="4" s="1"/>
  <c r="P29" i="4"/>
  <c r="G23" i="4"/>
  <c r="G25" i="4" s="1"/>
  <c r="G17" i="4"/>
  <c r="P11" i="4"/>
  <c r="P13" i="4" s="1"/>
  <c r="F30" i="4"/>
  <c r="F28" i="4"/>
  <c r="G29" i="4"/>
  <c r="G31" i="4" s="1"/>
  <c r="D11" i="4"/>
  <c r="F10" i="4"/>
  <c r="F13" i="4" s="1"/>
  <c r="O12" i="4"/>
  <c r="G11" i="4"/>
  <c r="D12" i="4"/>
  <c r="G12" i="4" s="1"/>
  <c r="O29" i="4"/>
  <c r="F29" i="4"/>
  <c r="O23" i="4"/>
  <c r="O25" i="4" s="1"/>
  <c r="O17" i="4"/>
  <c r="O19" i="4" s="1"/>
  <c r="F19" i="4"/>
  <c r="O11" i="4"/>
  <c r="N7" i="4"/>
  <c r="G6" i="4"/>
  <c r="P5" i="4"/>
  <c r="G5" i="4"/>
  <c r="P4" i="4"/>
  <c r="M28" i="4"/>
  <c r="P28" i="4" s="1"/>
  <c r="P31" i="4" s="1"/>
  <c r="M22" i="4"/>
  <c r="P22" i="4" s="1"/>
  <c r="P25" i="4" s="1"/>
  <c r="M16" i="4"/>
  <c r="P16" i="4" s="1"/>
  <c r="F2" i="2"/>
  <c r="C4" i="2"/>
  <c r="F4" i="2" s="1"/>
  <c r="G5" i="1"/>
  <c r="J5" i="1" s="1"/>
  <c r="G3" i="3"/>
  <c r="H3" i="3"/>
  <c r="I3" i="3" s="1"/>
  <c r="D4" i="3"/>
  <c r="F4" i="3"/>
  <c r="G4" i="3" s="1"/>
  <c r="D5" i="3"/>
  <c r="F6" i="3"/>
  <c r="F7" i="3"/>
  <c r="D12" i="3"/>
  <c r="E12" i="3"/>
  <c r="D13" i="3"/>
  <c r="E13" i="3"/>
  <c r="E14" i="3"/>
  <c r="F13" i="3" s="1"/>
  <c r="D15" i="3"/>
  <c r="E15" i="3"/>
  <c r="F15" i="3" s="1"/>
  <c r="D16" i="3"/>
  <c r="E16" i="3"/>
  <c r="F16" i="3"/>
  <c r="C6" i="2"/>
  <c r="D6" i="2" s="1"/>
  <c r="C8" i="2"/>
  <c r="M11" i="2"/>
  <c r="N11" i="2"/>
  <c r="N16" i="2" s="1"/>
  <c r="N12" i="2"/>
  <c r="N13" i="2"/>
  <c r="C14" i="2"/>
  <c r="N14" i="2"/>
  <c r="C17" i="2"/>
  <c r="C18" i="2"/>
  <c r="C19" i="2" s="1"/>
  <c r="F20" i="2"/>
  <c r="M20" i="2"/>
  <c r="F21" i="2"/>
  <c r="M21" i="2"/>
  <c r="C22" i="2"/>
  <c r="C24" i="2" s="1"/>
  <c r="M22" i="2"/>
  <c r="C23" i="2"/>
  <c r="L28" i="2"/>
  <c r="L29" i="2"/>
  <c r="L30" i="2" s="1"/>
  <c r="M30" i="2" s="1"/>
  <c r="N30" i="2" s="1"/>
  <c r="L32" i="2"/>
  <c r="M32" i="2" s="1"/>
  <c r="N32" i="2" s="1"/>
  <c r="L33" i="2"/>
  <c r="M33" i="2" s="1"/>
  <c r="N33" i="2" s="1"/>
  <c r="F35" i="2"/>
  <c r="F38" i="2"/>
  <c r="F39" i="2"/>
  <c r="G7" i="1"/>
  <c r="C8" i="1"/>
  <c r="D8" i="1"/>
  <c r="G9" i="1"/>
  <c r="D13" i="1"/>
  <c r="E13" i="1" s="1"/>
  <c r="D14" i="1"/>
  <c r="E14" i="1" s="1"/>
  <c r="G14" i="1" s="1"/>
  <c r="D15" i="1"/>
  <c r="E15" i="1" s="1"/>
  <c r="J15" i="1"/>
  <c r="E16" i="1"/>
  <c r="G16" i="1" s="1"/>
  <c r="F16" i="1"/>
  <c r="J18" i="1"/>
  <c r="J20" i="1" s="1"/>
  <c r="C19" i="1"/>
  <c r="D19" i="1"/>
  <c r="C20" i="1"/>
  <c r="D20" i="1"/>
  <c r="E20" i="1" s="1"/>
  <c r="F20" i="1" s="1"/>
  <c r="D21" i="1"/>
  <c r="E21" i="1" s="1"/>
  <c r="E22" i="1"/>
  <c r="G22" i="1" s="1"/>
  <c r="F22" i="1"/>
  <c r="E23" i="1"/>
  <c r="G23" i="1" s="1"/>
  <c r="F23" i="1"/>
  <c r="J23" i="1"/>
  <c r="J24" i="1"/>
  <c r="J25" i="1"/>
  <c r="C26" i="1"/>
  <c r="D26" i="1"/>
  <c r="G26" i="1" s="1"/>
  <c r="F27" i="1"/>
  <c r="G27" i="1"/>
  <c r="J33" i="1"/>
  <c r="O13" i="4" l="1"/>
  <c r="P7" i="4"/>
  <c r="Q7" i="4" s="1"/>
  <c r="P19" i="4"/>
  <c r="Q19" i="4" s="1"/>
  <c r="G7" i="4"/>
  <c r="H7" i="4" s="1"/>
  <c r="F31" i="4"/>
  <c r="G13" i="4"/>
  <c r="J26" i="1"/>
  <c r="O4" i="4"/>
  <c r="O6" i="4"/>
  <c r="F6" i="4"/>
  <c r="F4" i="4"/>
  <c r="Q13" i="4"/>
  <c r="O5" i="4"/>
  <c r="F22" i="2"/>
  <c r="C9" i="2"/>
  <c r="D9" i="2" s="1"/>
  <c r="D8" i="2"/>
  <c r="F6" i="2"/>
  <c r="O12" i="2"/>
  <c r="O16" i="2"/>
  <c r="F11" i="2"/>
  <c r="O13" i="2"/>
  <c r="O14" i="2"/>
  <c r="O15" i="2"/>
  <c r="F26" i="1"/>
  <c r="F28" i="1" s="1"/>
  <c r="G28" i="1"/>
  <c r="E19" i="1"/>
  <c r="F19" i="1" s="1"/>
  <c r="L31" i="2"/>
  <c r="M31" i="2" s="1"/>
  <c r="N31" i="2" s="1"/>
  <c r="O11" i="2"/>
  <c r="D7" i="2"/>
  <c r="F14" i="3"/>
  <c r="F5" i="3"/>
  <c r="H5" i="3" s="1"/>
  <c r="I5" i="3" s="1"/>
  <c r="H4" i="3"/>
  <c r="I4" i="3" s="1"/>
  <c r="J4" i="3" s="1"/>
  <c r="F12" i="3"/>
  <c r="G8" i="1"/>
  <c r="C11" i="2" s="1"/>
  <c r="E17" i="1"/>
  <c r="G13" i="1"/>
  <c r="F13" i="1"/>
  <c r="F15" i="1"/>
  <c r="G15" i="1"/>
  <c r="F21" i="1"/>
  <c r="G21" i="1"/>
  <c r="J28" i="1"/>
  <c r="G20" i="1"/>
  <c r="F14" i="1"/>
  <c r="H25" i="4" l="1"/>
  <c r="H31" i="4"/>
  <c r="H13" i="4"/>
  <c r="Q31" i="4"/>
  <c r="H19" i="4"/>
  <c r="Q25" i="4"/>
  <c r="O7" i="4"/>
  <c r="F7" i="4"/>
  <c r="E24" i="1"/>
  <c r="G19" i="1"/>
  <c r="G24" i="1" s="1"/>
  <c r="G11" i="1"/>
  <c r="H10" i="1" s="1"/>
  <c r="J7" i="1"/>
  <c r="J5" i="3"/>
  <c r="F13" i="2"/>
  <c r="F15" i="2"/>
  <c r="F17" i="2" s="1"/>
  <c r="H9" i="1"/>
  <c r="F17" i="1"/>
  <c r="G5" i="3"/>
  <c r="G6" i="3" s="1"/>
  <c r="K15" i="1"/>
  <c r="K24" i="1"/>
  <c r="K28" i="1"/>
  <c r="J30" i="1"/>
  <c r="K25" i="1"/>
  <c r="K23" i="1"/>
  <c r="G17" i="1"/>
  <c r="F24" i="1"/>
  <c r="F30" i="1" s="1"/>
  <c r="K26" i="1"/>
  <c r="K20" i="1"/>
  <c r="G7" i="3" l="1"/>
  <c r="D7" i="3" s="1"/>
  <c r="D6" i="3"/>
  <c r="I6" i="3" s="1"/>
  <c r="J6" i="3" s="1"/>
  <c r="F24" i="2"/>
  <c r="G13" i="2" s="1"/>
  <c r="G36" i="1"/>
  <c r="G30" i="1"/>
  <c r="H24" i="1" s="1"/>
  <c r="D8" i="3" l="1"/>
  <c r="D9" i="3" s="1"/>
  <c r="C12" i="2" s="1"/>
  <c r="I7" i="3"/>
  <c r="J7" i="3" s="1"/>
  <c r="G20" i="2"/>
  <c r="G21" i="2"/>
  <c r="G24" i="2"/>
  <c r="F27" i="2"/>
  <c r="G22" i="2"/>
  <c r="G17" i="2"/>
  <c r="G32" i="1"/>
  <c r="J8" i="1"/>
  <c r="H27" i="1"/>
  <c r="H30" i="1"/>
  <c r="G35" i="1"/>
  <c r="H28" i="1"/>
  <c r="H14" i="1"/>
  <c r="H26" i="1"/>
  <c r="H22" i="1"/>
  <c r="H16" i="1"/>
  <c r="H23" i="1"/>
  <c r="H19" i="1"/>
  <c r="H20" i="1"/>
  <c r="H13" i="1"/>
  <c r="H21" i="1"/>
  <c r="H15" i="1"/>
  <c r="H17" i="1"/>
  <c r="C34" i="2" l="1"/>
  <c r="N22" i="2"/>
  <c r="C13" i="2"/>
  <c r="N23" i="2"/>
  <c r="F34" i="2"/>
  <c r="G34" i="2" s="1"/>
  <c r="N20" i="2"/>
  <c r="N21" i="2"/>
  <c r="K8" i="1"/>
  <c r="J9" i="1"/>
  <c r="G37" i="1"/>
  <c r="H35" i="1" s="1"/>
  <c r="G33" i="1"/>
  <c r="J32" i="1"/>
  <c r="J35" i="1"/>
  <c r="J36" i="1" s="1"/>
  <c r="C15" i="2" l="1"/>
  <c r="H37" i="1"/>
  <c r="G38" i="1"/>
  <c r="H38" i="1" s="1"/>
  <c r="H36" i="1"/>
  <c r="J10" i="1"/>
  <c r="J11" i="1"/>
  <c r="C26" i="2" l="1"/>
  <c r="C27" i="2" s="1"/>
  <c r="C29" i="2" l="1"/>
  <c r="D14" i="2"/>
  <c r="D27" i="2"/>
  <c r="C36" i="2"/>
  <c r="C32" i="2"/>
  <c r="F7" i="2"/>
  <c r="F8" i="2" s="1"/>
  <c r="F9" i="2" s="1"/>
  <c r="D19" i="2"/>
  <c r="D24" i="2"/>
  <c r="D13" i="2"/>
  <c r="D15" i="2"/>
  <c r="D36" i="2" l="1"/>
  <c r="C38" i="2"/>
  <c r="D34" i="2"/>
  <c r="D32" i="2"/>
  <c r="C30" i="2"/>
  <c r="F30" i="2"/>
  <c r="F32" i="2"/>
  <c r="F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van Lieshout</author>
    <author>olivier van lieshout</author>
  </authors>
  <commentList>
    <comment ref="M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Olivier van Lieshout:</t>
        </r>
        <r>
          <rPr>
            <sz val="8"/>
            <color indexed="81"/>
            <rFont val="Tahoma"/>
            <family val="2"/>
          </rPr>
          <t xml:space="preserve">
Rate of Exchange
If ROE= 1 it is local currency</t>
        </r>
      </text>
    </comment>
    <comment ref="J4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Early = 9 month
Medium = 12 months
Late = 15 months</t>
        </r>
      </text>
    </comment>
    <comment ref="D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First Year: Naira 500 per bundle of 50 sticks each giving 5 stems.
After that 10 year reproduction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van lieshout</author>
  </authors>
  <commentList>
    <comment ref="M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1 ton per cycle of 8 hours</t>
        </r>
      </text>
    </comment>
    <comment ref="F3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2 dryers</t>
        </r>
      </text>
    </comment>
  </commentList>
</comments>
</file>

<file path=xl/sharedStrings.xml><?xml version="1.0" encoding="utf-8"?>
<sst xmlns="http://schemas.openxmlformats.org/spreadsheetml/2006/main" count="280" uniqueCount="170">
  <si>
    <r>
      <t xml:space="preserve">Note: figures in </t>
    </r>
    <r>
      <rPr>
        <b/>
        <i/>
        <sz val="9"/>
        <color indexed="12"/>
        <rFont val="Calibri"/>
        <family val="2"/>
        <scheme val="minor"/>
      </rPr>
      <t>blue</t>
    </r>
    <r>
      <rPr>
        <i/>
        <sz val="9"/>
        <rFont val="Calibri"/>
        <family val="2"/>
        <scheme val="minor"/>
      </rPr>
      <t xml:space="preserve"> are assumptions; figures in </t>
    </r>
    <r>
      <rPr>
        <b/>
        <i/>
        <sz val="9"/>
        <color indexed="14"/>
        <rFont val="Calibri"/>
        <family val="2"/>
        <scheme val="minor"/>
      </rPr>
      <t>pink</t>
    </r>
    <r>
      <rPr>
        <i/>
        <sz val="9"/>
        <rFont val="Calibri"/>
        <family val="2"/>
        <scheme val="minor"/>
      </rPr>
      <t xml:space="preserve"> are calculated in another sheet; figures in </t>
    </r>
    <r>
      <rPr>
        <b/>
        <i/>
        <sz val="9"/>
        <rFont val="Calibri"/>
        <family val="2"/>
        <scheme val="minor"/>
      </rPr>
      <t>black</t>
    </r>
    <r>
      <rPr>
        <i/>
        <sz val="9"/>
        <rFont val="Calibri"/>
        <family val="2"/>
        <scheme val="minor"/>
      </rPr>
      <t xml:space="preserve"> are formulas</t>
    </r>
  </si>
  <si>
    <t>Profit / q</t>
  </si>
  <si>
    <t>TC / q</t>
  </si>
  <si>
    <t>Break even yield (ton/hectare)</t>
  </si>
  <si>
    <t>FC / q</t>
  </si>
  <si>
    <t>Break even volume (ton)</t>
  </si>
  <si>
    <t>VC1,VC2,V3,VC4</t>
  </si>
  <si>
    <t>per/ton</t>
  </si>
  <si>
    <t>ton</t>
  </si>
  <si>
    <t>Quantity sold q (= hectare * yield * harvests)</t>
  </si>
  <si>
    <t>Margin %</t>
  </si>
  <si>
    <t>Contribution</t>
  </si>
  <si>
    <t>Margin</t>
  </si>
  <si>
    <t>FC (attributed to product)</t>
  </si>
  <si>
    <t>VC</t>
  </si>
  <si>
    <t>FC % attributed to product</t>
  </si>
  <si>
    <t>FC</t>
  </si>
  <si>
    <t>VC3</t>
  </si>
  <si>
    <t>Storage cost, days</t>
  </si>
  <si>
    <t>FC3</t>
  </si>
  <si>
    <t>Cost of packaging, incl. losses</t>
  </si>
  <si>
    <t>Other overhead</t>
  </si>
  <si>
    <t>Land rental</t>
  </si>
  <si>
    <t>VC2</t>
  </si>
  <si>
    <t>Family requirement</t>
  </si>
  <si>
    <t>Consumables, spare parts</t>
  </si>
  <si>
    <t>Family size, in FTE</t>
  </si>
  <si>
    <t>Irrigation water, days</t>
  </si>
  <si>
    <t>Tractor use (passes)</t>
  </si>
  <si>
    <t>FC2</t>
  </si>
  <si>
    <t>Hired labor harvesting, man days</t>
  </si>
  <si>
    <t>Interest rate</t>
  </si>
  <si>
    <t>Hired labor cultivation, man days</t>
  </si>
  <si>
    <t>Debt</t>
  </si>
  <si>
    <t>VC1</t>
  </si>
  <si>
    <t>All other inputs</t>
  </si>
  <si>
    <t>FC1</t>
  </si>
  <si>
    <t>Pesticides, herbicides (liters)</t>
  </si>
  <si>
    <t>Depreciation %</t>
  </si>
  <si>
    <t>Fertilizers, manure (ton)</t>
  </si>
  <si>
    <t>Asset value</t>
  </si>
  <si>
    <t>Stems (pieces)</t>
  </si>
  <si>
    <t>cost/ton</t>
  </si>
  <si>
    <t>cost/farm</t>
  </si>
  <si>
    <t>total/hectare</t>
  </si>
  <si>
    <t>price</t>
  </si>
  <si>
    <t>qtty/hectare</t>
  </si>
  <si>
    <t>Cash flow</t>
  </si>
  <si>
    <t>P (Ex Farm)</t>
  </si>
  <si>
    <t>Profit %</t>
  </si>
  <si>
    <t>VC4 Other costs</t>
  </si>
  <si>
    <t>Profit Before Tax</t>
  </si>
  <si>
    <t xml:space="preserve">VC4 Transport </t>
  </si>
  <si>
    <t>Total Cost</t>
  </si>
  <si>
    <t>Price (delivered)</t>
  </si>
  <si>
    <t>Total Revenue</t>
  </si>
  <si>
    <t>Percentage grade</t>
  </si>
  <si>
    <t>per year</t>
  </si>
  <si>
    <t>per ton</t>
  </si>
  <si>
    <t>Waste</t>
  </si>
  <si>
    <t>C-grade</t>
  </si>
  <si>
    <t>B-grade</t>
  </si>
  <si>
    <t>A-grade</t>
  </si>
  <si>
    <t>Quality grade finished product</t>
  </si>
  <si>
    <t>Harvests per year</t>
  </si>
  <si>
    <t>ton/hectare</t>
  </si>
  <si>
    <t>Yield per hectare</t>
  </si>
  <si>
    <t>hectare</t>
  </si>
  <si>
    <t>hectares planted</t>
  </si>
  <si>
    <t>NGN</t>
  </si>
  <si>
    <t>USD</t>
  </si>
  <si>
    <t>CB1 Cassava packed in 100 kg bags, unsorted</t>
  </si>
  <si>
    <t>ROE</t>
  </si>
  <si>
    <t>CB1 CASSAVA FARM CALIPSO, NIGERIA</t>
  </si>
  <si>
    <r>
      <t xml:space="preserve">Note: figures in </t>
    </r>
    <r>
      <rPr>
        <b/>
        <i/>
        <sz val="10"/>
        <color indexed="12"/>
        <rFont val="Arial"/>
        <family val="2"/>
      </rPr>
      <t>blue</t>
    </r>
    <r>
      <rPr>
        <i/>
        <sz val="10"/>
        <rFont val="Arial"/>
        <family val="2"/>
      </rPr>
      <t xml:space="preserve"> are assumptions; figures in </t>
    </r>
    <r>
      <rPr>
        <b/>
        <i/>
        <sz val="10"/>
        <color indexed="14"/>
        <rFont val="Arial"/>
        <family val="2"/>
      </rPr>
      <t>pink</t>
    </r>
    <r>
      <rPr>
        <i/>
        <sz val="10"/>
        <rFont val="Arial"/>
        <family val="2"/>
      </rPr>
      <t xml:space="preserve"> are calculated in another sheet; figures in </t>
    </r>
    <r>
      <rPr>
        <b/>
        <i/>
        <sz val="10"/>
        <rFont val="Arial"/>
        <family val="2"/>
      </rPr>
      <t>black</t>
    </r>
    <r>
      <rPr>
        <i/>
        <sz val="10"/>
        <rFont val="Arial"/>
        <family val="2"/>
      </rPr>
      <t xml:space="preserve"> are formulas</t>
    </r>
  </si>
  <si>
    <t>Capacity utilization</t>
  </si>
  <si>
    <t>Maximum capacity per year</t>
  </si>
  <si>
    <t>Length of harvesting season in days</t>
  </si>
  <si>
    <t>Production hours per day</t>
  </si>
  <si>
    <t>Total Cost / q</t>
  </si>
  <si>
    <t>Output capacity per hour in ton (2 dryers)</t>
  </si>
  <si>
    <t>Raw material required for sales (ton)</t>
  </si>
  <si>
    <t>Fixed Cost / q</t>
  </si>
  <si>
    <t>Cassava potential 15%</t>
  </si>
  <si>
    <t>Break even volume (raw material)</t>
  </si>
  <si>
    <t>Cassava potential 12%</t>
  </si>
  <si>
    <t>Break even volume (sales)</t>
  </si>
  <si>
    <t>Cassava potential 9%</t>
  </si>
  <si>
    <t>Cassava potential 6%</t>
  </si>
  <si>
    <t>Margin % of Price (EXW)</t>
  </si>
  <si>
    <t>Flour sold per year</t>
  </si>
  <si>
    <t>Quantity sold q (ton)</t>
  </si>
  <si>
    <t>Flour sold per day</t>
  </si>
  <si>
    <t>Honeywell flour sales</t>
  </si>
  <si>
    <t>FG losses % in storage</t>
  </si>
  <si>
    <t>??</t>
  </si>
  <si>
    <t>Very large</t>
  </si>
  <si>
    <t>Number of cartons per ton</t>
  </si>
  <si>
    <t>Tunnel dryer</t>
  </si>
  <si>
    <t>Large</t>
  </si>
  <si>
    <t>Cost of packing (50 kg PP woven bag)</t>
  </si>
  <si>
    <t>Flash dryer</t>
  </si>
  <si>
    <t>Medium</t>
  </si>
  <si>
    <t>Other overhead, rent, internal revenue tax</t>
  </si>
  <si>
    <t>Small</t>
  </si>
  <si>
    <t>Salaries staff incl. social taxes</t>
  </si>
  <si>
    <t>Cassava input</t>
  </si>
  <si>
    <t>Dried cassava flour</t>
  </si>
  <si>
    <t>Type of dryer</t>
  </si>
  <si>
    <t>Drier capacity</t>
  </si>
  <si>
    <t>Number of FTE employed</t>
  </si>
  <si>
    <t>Drying cost per ton (energy)</t>
  </si>
  <si>
    <t>Production cost per ton (peeling, grating)</t>
  </si>
  <si>
    <t>Total</t>
  </si>
  <si>
    <t>Office, unforeseen, etc</t>
  </si>
  <si>
    <t>Debt (to farmers)</t>
  </si>
  <si>
    <t>Transport</t>
  </si>
  <si>
    <t>Enzymes</t>
  </si>
  <si>
    <t>2 * 2.5 ton/hr</t>
  </si>
  <si>
    <t>Equipment</t>
  </si>
  <si>
    <t>Raw Material cost</t>
  </si>
  <si>
    <t>Building</t>
  </si>
  <si>
    <t>Processing ratio</t>
  </si>
  <si>
    <t>Land</t>
  </si>
  <si>
    <t>Asset value (+stocks of goods)</t>
  </si>
  <si>
    <t>Price (cassava delivered)</t>
  </si>
  <si>
    <t>%</t>
  </si>
  <si>
    <t>Amount Naira</t>
  </si>
  <si>
    <t>Price in Naira</t>
  </si>
  <si>
    <t>Qty</t>
  </si>
  <si>
    <t>Investment</t>
  </si>
  <si>
    <t>Profitability %</t>
  </si>
  <si>
    <t>Price (EXW)</t>
  </si>
  <si>
    <t>VC4 Transport to bakery</t>
  </si>
  <si>
    <t>VC4 Sales commission</t>
  </si>
  <si>
    <t>Total Revenue (Delivered)</t>
  </si>
  <si>
    <t>Price (delivered bakery)</t>
  </si>
  <si>
    <t>Enzyne enriched cassava flour in 50 kg bags</t>
  </si>
  <si>
    <t>CB1 CASSAVA PROCESSOR INTO FLOUR</t>
  </si>
  <si>
    <t>Parity price</t>
  </si>
  <si>
    <t>Price/ton</t>
  </si>
  <si>
    <t>PR</t>
  </si>
  <si>
    <t>Solids</t>
  </si>
  <si>
    <t>processing ratio</t>
  </si>
  <si>
    <t>overall losses</t>
  </si>
  <si>
    <t>kg</t>
  </si>
  <si>
    <t>after drying</t>
  </si>
  <si>
    <t>after dewatering</t>
  </si>
  <si>
    <t>after grating</t>
  </si>
  <si>
    <t>after peeling</t>
  </si>
  <si>
    <t>intake</t>
  </si>
  <si>
    <t>added water</t>
  </si>
  <si>
    <t>water</t>
  </si>
  <si>
    <t>solids</t>
  </si>
  <si>
    <t>unit</t>
  </si>
  <si>
    <t>FLOUR FROM CASSAVA</t>
  </si>
  <si>
    <t>Cassava flour</t>
  </si>
  <si>
    <t>Wheat flour</t>
  </si>
  <si>
    <t>Saving</t>
  </si>
  <si>
    <t>Cost</t>
  </si>
  <si>
    <t>Mix %</t>
  </si>
  <si>
    <t>Mix</t>
  </si>
  <si>
    <t>Price/kg</t>
  </si>
  <si>
    <t>BREAK EVEN</t>
  </si>
  <si>
    <t>Eur/kg</t>
  </si>
  <si>
    <t>In real market terms</t>
  </si>
  <si>
    <t>Cassava flour mixtures, Nigeria</t>
  </si>
  <si>
    <t>Flour Mix (kg)</t>
  </si>
  <si>
    <t>Cost (NGN)</t>
  </si>
  <si>
    <t>Enzymes Best Bake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</si>
</sst>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0.0%"/>
    <numFmt numFmtId="165" formatCode="#,##0.0;[Red]\-#,##0.0"/>
    <numFmt numFmtId="166" formatCode="_-* #,##0_-;\-* #,##0_-;_-* &quot;-&quot;??_-;_-@_-"/>
    <numFmt numFmtId="167" formatCode="_-* #,##0.0_-;\-* #,##0.0_-;_-* &quot;-&quot;??_-;_-@_-"/>
    <numFmt numFmtId="168" formatCode="0.0"/>
    <numFmt numFmtId="169" formatCode="#,##0_ ;[Red]\-#,##0\ "/>
    <numFmt numFmtId="170" formatCode="#,##0.0_);[Red]\(#,##0.0\)"/>
    <numFmt numFmtId="171" formatCode="#,##0_);[Red]\(#,##0\)"/>
    <numFmt numFmtId="172" formatCode="#,##0.0\ &quot;tons/hr&quot;"/>
    <numFmt numFmtId="173" formatCode="#,##0\ &quot;ton per day&quot;"/>
    <numFmt numFmtId="174" formatCode="#,##0\ &quot;ton&quot;"/>
    <numFmt numFmtId="175" formatCode="#,##0\ &quot;bags per day&quot;"/>
    <numFmt numFmtId="176" formatCode="#,##0\ &quot;tons/hr&quot;"/>
    <numFmt numFmtId="177" formatCode="#,##0.00\ &quot;tons/hr&quot;"/>
    <numFmt numFmtId="178" formatCode="#,##0\ &quot;m2&quot;"/>
    <numFmt numFmtId="179" formatCode="0.000%"/>
    <numFmt numFmtId="180" formatCode="#,##0.0"/>
    <numFmt numFmtId="181" formatCode="&quot;€&quot;#,##0.00"/>
  </numFmts>
  <fonts count="43" x14ac:knownFonts="1">
    <font>
      <sz val="10"/>
      <name val="Trebuchet MS"/>
      <family val="2"/>
    </font>
    <font>
      <sz val="10"/>
      <name val="Arial"/>
      <family val="2"/>
    </font>
    <font>
      <sz val="9"/>
      <name val="Calibri"/>
      <family val="2"/>
      <scheme val="minor"/>
    </font>
    <font>
      <i/>
      <sz val="10"/>
      <name val="Arial"/>
      <family val="2"/>
    </font>
    <font>
      <i/>
      <sz val="9"/>
      <name val="Calibri"/>
      <family val="2"/>
      <scheme val="minor"/>
    </font>
    <font>
      <b/>
      <i/>
      <sz val="9"/>
      <color indexed="12"/>
      <name val="Calibri"/>
      <family val="2"/>
      <scheme val="minor"/>
    </font>
    <font>
      <b/>
      <i/>
      <sz val="9"/>
      <color indexed="14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MS Sans Serif"/>
    </font>
    <font>
      <b/>
      <sz val="9"/>
      <name val="Calibri"/>
      <family val="2"/>
      <scheme val="minor"/>
    </font>
    <font>
      <sz val="9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14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</font>
    <font>
      <b/>
      <i/>
      <sz val="10"/>
      <color indexed="12"/>
      <name val="Arial"/>
      <family val="2"/>
    </font>
    <font>
      <b/>
      <i/>
      <sz val="10"/>
      <color indexed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1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FF"/>
      <name val="Arial"/>
      <family val="2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0"/>
      <color rgb="FF0000FF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304">
    <xf numFmtId="0" fontId="0" fillId="0" borderId="0" xfId="0"/>
    <xf numFmtId="0" fontId="2" fillId="2" borderId="0" xfId="3" applyFont="1" applyFill="1"/>
    <xf numFmtId="0" fontId="2" fillId="2" borderId="0" xfId="3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3" xfId="0" applyFont="1" applyFill="1" applyBorder="1"/>
    <xf numFmtId="164" fontId="2" fillId="3" borderId="4" xfId="2" applyNumberFormat="1" applyFont="1" applyFill="1" applyBorder="1"/>
    <xf numFmtId="164" fontId="2" fillId="3" borderId="0" xfId="2" applyNumberFormat="1" applyFont="1" applyFill="1" applyBorder="1"/>
    <xf numFmtId="0" fontId="2" fillId="3" borderId="5" xfId="3" applyFont="1" applyFill="1" applyBorder="1"/>
    <xf numFmtId="9" fontId="4" fillId="3" borderId="4" xfId="2" applyFont="1" applyFill="1" applyBorder="1" applyAlignment="1">
      <alignment horizontal="left"/>
    </xf>
    <xf numFmtId="165" fontId="9" fillId="3" borderId="0" xfId="3" applyNumberFormat="1" applyFont="1" applyFill="1" applyBorder="1"/>
    <xf numFmtId="38" fontId="9" fillId="3" borderId="0" xfId="1" applyNumberFormat="1" applyFont="1" applyFill="1" applyBorder="1"/>
    <xf numFmtId="0" fontId="9" fillId="3" borderId="0" xfId="3" applyFont="1" applyFill="1" applyBorder="1"/>
    <xf numFmtId="0" fontId="9" fillId="3" borderId="5" xfId="3" applyFont="1" applyFill="1" applyBorder="1"/>
    <xf numFmtId="166" fontId="9" fillId="3" borderId="4" xfId="4" applyNumberFormat="1" applyFont="1" applyFill="1" applyBorder="1"/>
    <xf numFmtId="166" fontId="9" fillId="3" borderId="0" xfId="4" applyNumberFormat="1" applyFont="1" applyFill="1" applyBorder="1"/>
    <xf numFmtId="9" fontId="4" fillId="3" borderId="4" xfId="2" applyNumberFormat="1" applyFont="1" applyFill="1" applyBorder="1" applyAlignment="1">
      <alignment horizontal="left"/>
    </xf>
    <xf numFmtId="165" fontId="2" fillId="3" borderId="0" xfId="1" applyNumberFormat="1" applyFont="1" applyFill="1" applyBorder="1"/>
    <xf numFmtId="38" fontId="2" fillId="3" borderId="0" xfId="1" applyNumberFormat="1" applyFont="1" applyFill="1" applyBorder="1"/>
    <xf numFmtId="0" fontId="2" fillId="3" borderId="0" xfId="3" applyFont="1" applyFill="1" applyBorder="1"/>
    <xf numFmtId="0" fontId="2" fillId="2" borderId="0" xfId="0" applyFont="1" applyFill="1" applyAlignment="1"/>
    <xf numFmtId="166" fontId="10" fillId="3" borderId="4" xfId="4" applyNumberFormat="1" applyFont="1" applyFill="1" applyBorder="1"/>
    <xf numFmtId="167" fontId="2" fillId="4" borderId="0" xfId="3" applyNumberFormat="1" applyFont="1" applyFill="1" applyBorder="1"/>
    <xf numFmtId="9" fontId="4" fillId="4" borderId="0" xfId="5" applyFont="1" applyFill="1" applyBorder="1" applyAlignment="1">
      <alignment horizontal="left"/>
    </xf>
    <xf numFmtId="0" fontId="2" fillId="4" borderId="5" xfId="3" applyFont="1" applyFill="1" applyBorder="1"/>
    <xf numFmtId="167" fontId="10" fillId="3" borderId="6" xfId="4" applyNumberFormat="1" applyFont="1" applyFill="1" applyBorder="1"/>
    <xf numFmtId="167" fontId="10" fillId="3" borderId="7" xfId="4" applyNumberFormat="1" applyFont="1" applyFill="1" applyBorder="1"/>
    <xf numFmtId="0" fontId="2" fillId="3" borderId="8" xfId="3" applyFont="1" applyFill="1" applyBorder="1"/>
    <xf numFmtId="0" fontId="2" fillId="3" borderId="6" xfId="3" applyFont="1" applyFill="1" applyBorder="1"/>
    <xf numFmtId="0" fontId="4" fillId="3" borderId="7" xfId="3" applyFont="1" applyFill="1" applyBorder="1" applyAlignment="1">
      <alignment horizontal="right"/>
    </xf>
    <xf numFmtId="0" fontId="2" fillId="3" borderId="7" xfId="3" applyFont="1" applyFill="1" applyBorder="1"/>
    <xf numFmtId="43" fontId="2" fillId="4" borderId="4" xfId="3" applyNumberFormat="1" applyFont="1" applyFill="1" applyBorder="1"/>
    <xf numFmtId="166" fontId="2" fillId="4" borderId="0" xfId="3" applyNumberFormat="1" applyFont="1" applyFill="1" applyBorder="1"/>
    <xf numFmtId="0" fontId="2" fillId="3" borderId="4" xfId="3" applyFont="1" applyFill="1" applyBorder="1"/>
    <xf numFmtId="9" fontId="2" fillId="3" borderId="0" xfId="6" applyNumberFormat="1" applyFont="1" applyFill="1" applyBorder="1"/>
    <xf numFmtId="1" fontId="2" fillId="3" borderId="0" xfId="3" applyNumberFormat="1" applyFont="1" applyFill="1" applyBorder="1" applyAlignment="1"/>
    <xf numFmtId="167" fontId="9" fillId="4" borderId="4" xfId="3" applyNumberFormat="1" applyFont="1" applyFill="1" applyBorder="1"/>
    <xf numFmtId="166" fontId="9" fillId="4" borderId="0" xfId="3" applyNumberFormat="1" applyFont="1" applyFill="1" applyBorder="1"/>
    <xf numFmtId="0" fontId="9" fillId="4" borderId="0" xfId="3" applyFont="1" applyFill="1"/>
    <xf numFmtId="165" fontId="9" fillId="3" borderId="0" xfId="1" applyNumberFormat="1" applyFont="1" applyFill="1" applyBorder="1"/>
    <xf numFmtId="0" fontId="2" fillId="4" borderId="6" xfId="3" applyFont="1" applyFill="1" applyBorder="1"/>
    <xf numFmtId="0" fontId="2" fillId="4" borderId="7" xfId="3" applyFont="1" applyFill="1" applyBorder="1"/>
    <xf numFmtId="0" fontId="2" fillId="4" borderId="8" xfId="3" applyFont="1" applyFill="1" applyBorder="1"/>
    <xf numFmtId="9" fontId="4" fillId="4" borderId="9" xfId="2" applyFont="1" applyFill="1" applyBorder="1"/>
    <xf numFmtId="166" fontId="9" fillId="4" borderId="10" xfId="3" applyNumberFormat="1" applyFont="1" applyFill="1" applyBorder="1"/>
    <xf numFmtId="0" fontId="9" fillId="4" borderId="11" xfId="3" applyFont="1" applyFill="1" applyBorder="1"/>
    <xf numFmtId="9" fontId="4" fillId="3" borderId="4" xfId="2" applyNumberFormat="1" applyFont="1" applyFill="1" applyBorder="1" applyAlignment="1">
      <alignment horizontal="center"/>
    </xf>
    <xf numFmtId="165" fontId="9" fillId="3" borderId="10" xfId="1" applyNumberFormat="1" applyFont="1" applyFill="1" applyBorder="1"/>
    <xf numFmtId="38" fontId="9" fillId="3" borderId="10" xfId="1" applyNumberFormat="1" applyFont="1" applyFill="1" applyBorder="1"/>
    <xf numFmtId="0" fontId="9" fillId="3" borderId="10" xfId="3" applyFont="1" applyFill="1" applyBorder="1"/>
    <xf numFmtId="0" fontId="9" fillId="3" borderId="11" xfId="3" applyFont="1" applyFill="1" applyBorder="1"/>
    <xf numFmtId="9" fontId="12" fillId="4" borderId="4" xfId="3" applyNumberFormat="1" applyFont="1" applyFill="1" applyBorder="1"/>
    <xf numFmtId="9" fontId="13" fillId="4" borderId="12" xfId="3" applyNumberFormat="1" applyFont="1" applyFill="1" applyBorder="1"/>
    <xf numFmtId="38" fontId="2" fillId="3" borderId="0" xfId="1" applyNumberFormat="1" applyFont="1" applyFill="1" applyBorder="1" applyAlignment="1"/>
    <xf numFmtId="0" fontId="9" fillId="2" borderId="0" xfId="0" applyFont="1" applyFill="1" applyAlignment="1"/>
    <xf numFmtId="9" fontId="4" fillId="4" borderId="4" xfId="2" applyFont="1" applyFill="1" applyBorder="1"/>
    <xf numFmtId="166" fontId="9" fillId="4" borderId="0" xfId="4" applyNumberFormat="1" applyFont="1" applyFill="1" applyBorder="1"/>
    <xf numFmtId="0" fontId="9" fillId="4" borderId="5" xfId="3" applyFont="1" applyFill="1" applyBorder="1"/>
    <xf numFmtId="9" fontId="7" fillId="3" borderId="4" xfId="2" applyNumberFormat="1" applyFont="1" applyFill="1" applyBorder="1" applyAlignment="1">
      <alignment horizontal="center"/>
    </xf>
    <xf numFmtId="0" fontId="2" fillId="4" borderId="4" xfId="3" applyFont="1" applyFill="1" applyBorder="1"/>
    <xf numFmtId="0" fontId="2" fillId="4" borderId="0" xfId="3" applyFont="1" applyFill="1" applyBorder="1"/>
    <xf numFmtId="38" fontId="2" fillId="4" borderId="0" xfId="1" applyNumberFormat="1" applyFont="1" applyFill="1" applyBorder="1" applyAlignment="1"/>
    <xf numFmtId="2" fontId="10" fillId="4" borderId="12" xfId="3" applyNumberFormat="1" applyFont="1" applyFill="1" applyBorder="1"/>
    <xf numFmtId="168" fontId="10" fillId="4" borderId="12" xfId="3" applyNumberFormat="1" applyFont="1" applyFill="1" applyBorder="1"/>
    <xf numFmtId="166" fontId="13" fillId="4" borderId="12" xfId="4" applyNumberFormat="1" applyFont="1" applyFill="1" applyBorder="1"/>
    <xf numFmtId="38" fontId="9" fillId="4" borderId="0" xfId="1" applyNumberFormat="1" applyFont="1" applyFill="1" applyBorder="1" applyAlignment="1"/>
    <xf numFmtId="38" fontId="9" fillId="4" borderId="0" xfId="3" applyNumberFormat="1" applyFont="1" applyFill="1" applyBorder="1"/>
    <xf numFmtId="0" fontId="9" fillId="4" borderId="0" xfId="3" applyFont="1" applyFill="1" applyBorder="1"/>
    <xf numFmtId="165" fontId="10" fillId="4" borderId="12" xfId="1" applyNumberFormat="1" applyFont="1" applyFill="1" applyBorder="1" applyAlignment="1"/>
    <xf numFmtId="38" fontId="13" fillId="4" borderId="12" xfId="1" applyNumberFormat="1" applyFont="1" applyFill="1" applyBorder="1" applyAlignment="1"/>
    <xf numFmtId="0" fontId="2" fillId="3" borderId="5" xfId="3" applyFont="1" applyFill="1" applyBorder="1" applyAlignment="1">
      <alignment horizontal="left"/>
    </xf>
    <xf numFmtId="9" fontId="2" fillId="2" borderId="0" xfId="2" applyFont="1" applyFill="1"/>
    <xf numFmtId="167" fontId="13" fillId="4" borderId="12" xfId="4" applyNumberFormat="1" applyFont="1" applyFill="1" applyBorder="1"/>
    <xf numFmtId="38" fontId="10" fillId="4" borderId="12" xfId="1" applyNumberFormat="1" applyFont="1" applyFill="1" applyBorder="1" applyAlignment="1"/>
    <xf numFmtId="164" fontId="13" fillId="4" borderId="4" xfId="3" applyNumberFormat="1" applyFont="1" applyFill="1" applyBorder="1"/>
    <xf numFmtId="164" fontId="13" fillId="4" borderId="12" xfId="3" applyNumberFormat="1" applyFont="1" applyFill="1" applyBorder="1"/>
    <xf numFmtId="166" fontId="13" fillId="4" borderId="4" xfId="4" applyNumberFormat="1" applyFont="1" applyFill="1" applyBorder="1"/>
    <xf numFmtId="165" fontId="10" fillId="4" borderId="0" xfId="1" applyNumberFormat="1" applyFont="1" applyFill="1" applyBorder="1" applyAlignment="1"/>
    <xf numFmtId="165" fontId="14" fillId="4" borderId="0" xfId="1" applyNumberFormat="1" applyFont="1" applyFill="1" applyBorder="1" applyAlignment="1"/>
    <xf numFmtId="38" fontId="10" fillId="5" borderId="12" xfId="1" applyNumberFormat="1" applyFont="1" applyFill="1" applyBorder="1" applyAlignment="1"/>
    <xf numFmtId="9" fontId="2" fillId="4" borderId="4" xfId="3" applyNumberFormat="1" applyFont="1" applyFill="1" applyBorder="1"/>
    <xf numFmtId="166" fontId="2" fillId="4" borderId="4" xfId="4" applyNumberFormat="1" applyFont="1" applyFill="1" applyBorder="1"/>
    <xf numFmtId="40" fontId="10" fillId="4" borderId="12" xfId="1" applyNumberFormat="1" applyFont="1" applyFill="1" applyBorder="1" applyAlignment="1"/>
    <xf numFmtId="0" fontId="4" fillId="3" borderId="0" xfId="3" applyFont="1" applyFill="1" applyBorder="1" applyAlignment="1">
      <alignment horizontal="right"/>
    </xf>
    <xf numFmtId="0" fontId="4" fillId="4" borderId="0" xfId="3" applyFont="1" applyFill="1" applyBorder="1" applyAlignment="1">
      <alignment horizontal="right"/>
    </xf>
    <xf numFmtId="0" fontId="4" fillId="4" borderId="0" xfId="3" applyFont="1" applyFill="1" applyBorder="1" applyAlignment="1">
      <alignment horizontal="center"/>
    </xf>
    <xf numFmtId="9" fontId="2" fillId="4" borderId="9" xfId="2" applyFont="1" applyFill="1" applyBorder="1"/>
    <xf numFmtId="166" fontId="2" fillId="4" borderId="10" xfId="2" applyNumberFormat="1" applyFont="1" applyFill="1" applyBorder="1"/>
    <xf numFmtId="0" fontId="2" fillId="4" borderId="11" xfId="3" applyFont="1" applyFill="1" applyBorder="1"/>
    <xf numFmtId="0" fontId="2" fillId="3" borderId="9" xfId="3" applyFont="1" applyFill="1" applyBorder="1"/>
    <xf numFmtId="38" fontId="9" fillId="4" borderId="10" xfId="1" applyNumberFormat="1" applyFont="1" applyFill="1" applyBorder="1"/>
    <xf numFmtId="166" fontId="9" fillId="4" borderId="4" xfId="3" applyNumberFormat="1" applyFont="1" applyFill="1" applyBorder="1"/>
    <xf numFmtId="9" fontId="15" fillId="3" borderId="0" xfId="6" applyFont="1" applyFill="1" applyBorder="1" applyAlignment="1">
      <alignment horizontal="right"/>
    </xf>
    <xf numFmtId="38" fontId="10" fillId="3" borderId="12" xfId="1" applyNumberFormat="1" applyFont="1" applyFill="1" applyBorder="1"/>
    <xf numFmtId="38" fontId="10" fillId="4" borderId="0" xfId="1" applyNumberFormat="1" applyFont="1" applyFill="1" applyBorder="1"/>
    <xf numFmtId="169" fontId="9" fillId="4" borderId="0" xfId="3" applyNumberFormat="1" applyFont="1" applyFill="1" applyBorder="1"/>
    <xf numFmtId="9" fontId="4" fillId="6" borderId="4" xfId="2" applyNumberFormat="1" applyFont="1" applyFill="1" applyBorder="1" applyAlignment="1">
      <alignment horizontal="center"/>
    </xf>
    <xf numFmtId="38" fontId="13" fillId="5" borderId="12" xfId="1" applyNumberFormat="1" applyFont="1" applyFill="1" applyBorder="1" applyAlignment="1">
      <alignment horizontal="right"/>
    </xf>
    <xf numFmtId="166" fontId="2" fillId="4" borderId="0" xfId="4" applyNumberFormat="1" applyFont="1" applyFill="1" applyBorder="1"/>
    <xf numFmtId="170" fontId="13" fillId="4" borderId="12" xfId="1" applyNumberFormat="1" applyFont="1" applyFill="1" applyBorder="1"/>
    <xf numFmtId="171" fontId="13" fillId="4" borderId="12" xfId="1" applyNumberFormat="1" applyFont="1" applyFill="1" applyBorder="1"/>
    <xf numFmtId="0" fontId="9" fillId="3" borderId="4" xfId="3" applyFont="1" applyFill="1" applyBorder="1" applyAlignment="1">
      <alignment horizontal="center"/>
    </xf>
    <xf numFmtId="9" fontId="2" fillId="4" borderId="0" xfId="2" applyFont="1" applyFill="1" applyBorder="1"/>
    <xf numFmtId="9" fontId="13" fillId="4" borderId="12" xfId="2" applyNumberFormat="1" applyFont="1" applyFill="1" applyBorder="1"/>
    <xf numFmtId="0" fontId="9" fillId="4" borderId="4" xfId="3" applyFont="1" applyFill="1" applyBorder="1" applyAlignment="1">
      <alignment horizontal="center"/>
    </xf>
    <xf numFmtId="0" fontId="9" fillId="4" borderId="0" xfId="3" applyFont="1" applyFill="1" applyBorder="1" applyAlignment="1">
      <alignment horizontal="center"/>
    </xf>
    <xf numFmtId="0" fontId="9" fillId="3" borderId="0" xfId="3" applyFont="1" applyFill="1" applyBorder="1" applyAlignment="1">
      <alignment horizontal="center"/>
    </xf>
    <xf numFmtId="0" fontId="9" fillId="4" borderId="6" xfId="3" applyFont="1" applyFill="1" applyBorder="1" applyAlignment="1">
      <alignment horizontal="center"/>
    </xf>
    <xf numFmtId="0" fontId="9" fillId="4" borderId="7" xfId="3" applyFont="1" applyFill="1" applyBorder="1" applyAlignment="1">
      <alignment horizontal="center"/>
    </xf>
    <xf numFmtId="0" fontId="9" fillId="0" borderId="7" xfId="3" applyFont="1" applyBorder="1" applyAlignment="1">
      <alignment horizontal="center"/>
    </xf>
    <xf numFmtId="0" fontId="2" fillId="2" borderId="0" xfId="0" applyFont="1" applyFill="1"/>
    <xf numFmtId="166" fontId="9" fillId="4" borderId="1" xfId="1" applyNumberFormat="1" applyFont="1" applyFill="1" applyBorder="1"/>
    <xf numFmtId="165" fontId="10" fillId="4" borderId="12" xfId="1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right"/>
    </xf>
    <xf numFmtId="0" fontId="2" fillId="4" borderId="1" xfId="3" applyFont="1" applyFill="1" applyBorder="1"/>
    <xf numFmtId="168" fontId="13" fillId="4" borderId="12" xfId="3" applyNumberFormat="1" applyFont="1" applyFill="1" applyBorder="1"/>
    <xf numFmtId="0" fontId="2" fillId="4" borderId="2" xfId="3" applyFont="1" applyFill="1" applyBorder="1"/>
    <xf numFmtId="0" fontId="13" fillId="4" borderId="12" xfId="3" applyFont="1" applyFill="1" applyBorder="1"/>
    <xf numFmtId="0" fontId="2" fillId="4" borderId="3" xfId="3" applyFont="1" applyFill="1" applyBorder="1"/>
    <xf numFmtId="0" fontId="14" fillId="7" borderId="9" xfId="3" applyFont="1" applyFill="1" applyBorder="1" applyAlignment="1">
      <alignment horizontal="right"/>
    </xf>
    <xf numFmtId="0" fontId="14" fillId="7" borderId="11" xfId="3" applyFont="1" applyFill="1" applyBorder="1" applyAlignment="1">
      <alignment horizontal="right"/>
    </xf>
    <xf numFmtId="0" fontId="15" fillId="8" borderId="4" xfId="3" applyFont="1" applyFill="1" applyBorder="1"/>
    <xf numFmtId="0" fontId="15" fillId="8" borderId="0" xfId="3" applyFont="1" applyFill="1" applyBorder="1"/>
    <xf numFmtId="1" fontId="15" fillId="8" borderId="0" xfId="3" applyNumberFormat="1" applyFont="1" applyFill="1" applyBorder="1"/>
    <xf numFmtId="0" fontId="16" fillId="8" borderId="0" xfId="3" applyFont="1" applyFill="1" applyBorder="1"/>
    <xf numFmtId="0" fontId="16" fillId="8" borderId="5" xfId="3" applyFont="1" applyFill="1" applyBorder="1"/>
    <xf numFmtId="168" fontId="14" fillId="7" borderId="6" xfId="3" applyNumberFormat="1" applyFont="1" applyFill="1" applyBorder="1"/>
    <xf numFmtId="0" fontId="9" fillId="7" borderId="8" xfId="3" applyFont="1" applyFill="1" applyBorder="1" applyAlignment="1">
      <alignment horizontal="center"/>
    </xf>
    <xf numFmtId="0" fontId="16" fillId="8" borderId="6" xfId="7" applyFont="1" applyFill="1" applyBorder="1"/>
    <xf numFmtId="0" fontId="16" fillId="8" borderId="7" xfId="7" applyFont="1" applyFill="1" applyBorder="1"/>
    <xf numFmtId="0" fontId="16" fillId="8" borderId="7" xfId="7" applyFont="1" applyFill="1" applyBorder="1" applyAlignment="1">
      <alignment horizontal="center"/>
    </xf>
    <xf numFmtId="0" fontId="17" fillId="8" borderId="8" xfId="7" applyFont="1" applyFill="1" applyBorder="1"/>
    <xf numFmtId="0" fontId="1" fillId="10" borderId="0" xfId="8" applyFont="1" applyFill="1" applyProtection="1"/>
    <xf numFmtId="0" fontId="1" fillId="3" borderId="9" xfId="8" applyFont="1" applyFill="1" applyBorder="1" applyProtection="1"/>
    <xf numFmtId="0" fontId="1" fillId="3" borderId="10" xfId="8" applyFont="1" applyFill="1" applyBorder="1" applyProtection="1"/>
    <xf numFmtId="0" fontId="3" fillId="3" borderId="11" xfId="8" applyFont="1" applyFill="1" applyBorder="1" applyProtection="1"/>
    <xf numFmtId="9" fontId="26" fillId="3" borderId="10" xfId="6" applyNumberFormat="1" applyFont="1" applyFill="1" applyBorder="1"/>
    <xf numFmtId="0" fontId="26" fillId="3" borderId="11" xfId="8" applyFont="1" applyFill="1" applyBorder="1" applyProtection="1"/>
    <xf numFmtId="0" fontId="1" fillId="3" borderId="11" xfId="8" applyFont="1" applyFill="1" applyBorder="1" applyProtection="1"/>
    <xf numFmtId="9" fontId="3" fillId="3" borderId="4" xfId="6" applyNumberFormat="1" applyFont="1" applyFill="1" applyBorder="1" applyAlignment="1" applyProtection="1">
      <alignment horizontal="left"/>
    </xf>
    <xf numFmtId="166" fontId="1" fillId="4" borderId="12" xfId="9" applyNumberFormat="1" applyFont="1" applyFill="1" applyBorder="1" applyProtection="1">
      <protection locked="0"/>
    </xf>
    <xf numFmtId="0" fontId="1" fillId="3" borderId="5" xfId="8" applyFont="1" applyFill="1" applyBorder="1" applyProtection="1"/>
    <xf numFmtId="169" fontId="26" fillId="3" borderId="0" xfId="9" applyNumberFormat="1" applyFont="1" applyFill="1" applyBorder="1" applyProtection="1"/>
    <xf numFmtId="0" fontId="26" fillId="3" borderId="5" xfId="8" applyFont="1" applyFill="1" applyBorder="1" applyProtection="1"/>
    <xf numFmtId="0" fontId="27" fillId="10" borderId="0" xfId="8" applyFont="1" applyFill="1" applyProtection="1"/>
    <xf numFmtId="0" fontId="1" fillId="3" borderId="4" xfId="8" applyFont="1" applyFill="1" applyBorder="1" applyProtection="1"/>
    <xf numFmtId="166" fontId="28" fillId="4" borderId="12" xfId="9" applyNumberFormat="1" applyFont="1" applyFill="1" applyBorder="1" applyProtection="1">
      <protection locked="0"/>
    </xf>
    <xf numFmtId="166" fontId="1" fillId="3" borderId="0" xfId="9" applyNumberFormat="1" applyFont="1" applyFill="1" applyBorder="1" applyProtection="1"/>
    <xf numFmtId="166" fontId="27" fillId="3" borderId="12" xfId="9" applyNumberFormat="1" applyFont="1" applyFill="1" applyBorder="1" applyProtection="1">
      <protection locked="0"/>
    </xf>
    <xf numFmtId="166" fontId="26" fillId="3" borderId="0" xfId="9" applyNumberFormat="1" applyFont="1" applyFill="1" applyBorder="1" applyProtection="1"/>
    <xf numFmtId="167" fontId="28" fillId="3" borderId="12" xfId="9" applyNumberFormat="1" applyFont="1" applyFill="1" applyBorder="1" applyProtection="1"/>
    <xf numFmtId="166" fontId="3" fillId="3" borderId="4" xfId="9" applyNumberFormat="1" applyFont="1" applyFill="1" applyBorder="1" applyAlignment="1" applyProtection="1">
      <alignment horizontal="left"/>
    </xf>
    <xf numFmtId="172" fontId="1" fillId="4" borderId="0" xfId="8" applyNumberFormat="1" applyFont="1" applyFill="1" applyProtection="1"/>
    <xf numFmtId="173" fontId="1" fillId="4" borderId="0" xfId="8" applyNumberFormat="1" applyFont="1" applyFill="1" applyProtection="1"/>
    <xf numFmtId="174" fontId="1" fillId="4" borderId="0" xfId="9" applyNumberFormat="1" applyFont="1" applyFill="1" applyProtection="1"/>
    <xf numFmtId="0" fontId="1" fillId="4" borderId="0" xfId="8" applyFont="1" applyFill="1" applyProtection="1"/>
    <xf numFmtId="0" fontId="1" fillId="0" borderId="4" xfId="8" applyFont="1" applyBorder="1" applyProtection="1"/>
    <xf numFmtId="0" fontId="1" fillId="3" borderId="0" xfId="8" applyFont="1" applyFill="1" applyBorder="1" applyProtection="1"/>
    <xf numFmtId="0" fontId="1" fillId="0" borderId="5" xfId="8" applyFont="1" applyBorder="1" applyProtection="1"/>
    <xf numFmtId="174" fontId="1" fillId="5" borderId="0" xfId="9" applyNumberFormat="1" applyFont="1" applyFill="1" applyProtection="1"/>
    <xf numFmtId="0" fontId="1" fillId="5" borderId="0" xfId="8" applyFont="1" applyFill="1" applyProtection="1"/>
    <xf numFmtId="9" fontId="1" fillId="3" borderId="0" xfId="6" applyFont="1" applyFill="1" applyBorder="1" applyProtection="1"/>
    <xf numFmtId="9" fontId="1" fillId="3" borderId="0" xfId="6" applyFont="1" applyFill="1" applyBorder="1"/>
    <xf numFmtId="0" fontId="27" fillId="4" borderId="0" xfId="8" applyFont="1" applyFill="1" applyProtection="1"/>
    <xf numFmtId="175" fontId="28" fillId="4" borderId="0" xfId="8" applyNumberFormat="1" applyFont="1" applyFill="1" applyProtection="1"/>
    <xf numFmtId="9" fontId="3" fillId="3" borderId="6" xfId="6" applyNumberFormat="1" applyFont="1" applyFill="1" applyBorder="1" applyAlignment="1" applyProtection="1">
      <alignment horizontal="left"/>
    </xf>
    <xf numFmtId="0" fontId="1" fillId="3" borderId="7" xfId="8" applyFont="1" applyFill="1" applyBorder="1" applyProtection="1"/>
    <xf numFmtId="0" fontId="1" fillId="3" borderId="8" xfId="8" applyFont="1" applyFill="1" applyBorder="1" applyProtection="1"/>
    <xf numFmtId="0" fontId="1" fillId="3" borderId="6" xfId="8" applyFont="1" applyFill="1" applyBorder="1" applyProtection="1"/>
    <xf numFmtId="166" fontId="1" fillId="3" borderId="7" xfId="9" applyNumberFormat="1" applyFont="1" applyFill="1" applyBorder="1" applyProtection="1"/>
    <xf numFmtId="0" fontId="29" fillId="11" borderId="0" xfId="8" applyFont="1" applyFill="1" applyProtection="1"/>
    <xf numFmtId="0" fontId="30" fillId="11" borderId="0" xfId="8" applyFont="1" applyFill="1" applyProtection="1"/>
    <xf numFmtId="9" fontId="3" fillId="3" borderId="9" xfId="6" applyNumberFormat="1" applyFont="1" applyFill="1" applyBorder="1" applyAlignment="1" applyProtection="1">
      <alignment horizontal="left"/>
    </xf>
    <xf numFmtId="166" fontId="26" fillId="3" borderId="10" xfId="8" applyNumberFormat="1" applyFont="1" applyFill="1" applyBorder="1" applyProtection="1"/>
    <xf numFmtId="9" fontId="3" fillId="3" borderId="10" xfId="6" applyNumberFormat="1" applyFont="1" applyFill="1" applyBorder="1" applyAlignment="1" applyProtection="1">
      <alignment horizontal="left"/>
    </xf>
    <xf numFmtId="166" fontId="26" fillId="3" borderId="10" xfId="9" applyNumberFormat="1" applyFont="1" applyFill="1" applyBorder="1" applyProtection="1"/>
    <xf numFmtId="9" fontId="28" fillId="3" borderId="12" xfId="8" applyNumberFormat="1" applyFont="1" applyFill="1" applyBorder="1" applyProtection="1">
      <protection locked="0"/>
    </xf>
    <xf numFmtId="164" fontId="27" fillId="3" borderId="12" xfId="8" applyNumberFormat="1" applyFont="1" applyFill="1" applyBorder="1" applyAlignment="1" applyProtection="1">
      <alignment horizontal="center"/>
      <protection locked="0"/>
    </xf>
    <xf numFmtId="9" fontId="3" fillId="3" borderId="0" xfId="6" applyNumberFormat="1" applyFont="1" applyFill="1" applyBorder="1" applyAlignment="1" applyProtection="1">
      <alignment horizontal="left"/>
    </xf>
    <xf numFmtId="166" fontId="26" fillId="3" borderId="0" xfId="9" applyNumberFormat="1" applyFont="1" applyFill="1" applyBorder="1" applyAlignment="1" applyProtection="1">
      <alignment horizontal="left" indent="1"/>
    </xf>
    <xf numFmtId="176" fontId="1" fillId="4" borderId="0" xfId="8" applyNumberFormat="1" applyFont="1" applyFill="1" applyProtection="1"/>
    <xf numFmtId="177" fontId="27" fillId="4" borderId="0" xfId="8" applyNumberFormat="1" applyFont="1" applyFill="1" applyProtection="1"/>
    <xf numFmtId="166" fontId="27" fillId="0" borderId="12" xfId="9" applyNumberFormat="1" applyFont="1" applyFill="1" applyBorder="1" applyProtection="1">
      <protection locked="0"/>
    </xf>
    <xf numFmtId="166" fontId="28" fillId="0" borderId="12" xfId="9" applyNumberFormat="1" applyFont="1" applyFill="1" applyBorder="1" applyProtection="1">
      <protection locked="0"/>
    </xf>
    <xf numFmtId="0" fontId="30" fillId="11" borderId="0" xfId="8" applyFont="1" applyFill="1" applyAlignment="1" applyProtection="1">
      <alignment horizontal="right"/>
    </xf>
    <xf numFmtId="166" fontId="27" fillId="4" borderId="12" xfId="9" applyNumberFormat="1" applyFont="1" applyFill="1" applyBorder="1" applyProtection="1">
      <protection locked="0"/>
    </xf>
    <xf numFmtId="166" fontId="26" fillId="3" borderId="0" xfId="8" applyNumberFormat="1" applyFont="1" applyFill="1" applyBorder="1" applyProtection="1"/>
    <xf numFmtId="168" fontId="27" fillId="3" borderId="0" xfId="8" applyNumberFormat="1" applyFont="1" applyFill="1" applyBorder="1" applyProtection="1"/>
    <xf numFmtId="9" fontId="26" fillId="4" borderId="0" xfId="6" applyFont="1" applyFill="1" applyProtection="1"/>
    <xf numFmtId="3" fontId="26" fillId="4" borderId="0" xfId="8" applyNumberFormat="1" applyFont="1" applyFill="1" applyProtection="1"/>
    <xf numFmtId="0" fontId="31" fillId="4" borderId="0" xfId="8" applyFont="1" applyFill="1" applyProtection="1"/>
    <xf numFmtId="0" fontId="26" fillId="4" borderId="0" xfId="8" applyFont="1" applyFill="1" applyProtection="1"/>
    <xf numFmtId="164" fontId="28" fillId="3" borderId="12" xfId="8" applyNumberFormat="1" applyFont="1" applyFill="1" applyBorder="1" applyProtection="1">
      <protection locked="0"/>
    </xf>
    <xf numFmtId="9" fontId="1" fillId="4" borderId="0" xfId="6" applyFont="1" applyFill="1" applyProtection="1"/>
    <xf numFmtId="3" fontId="28" fillId="4" borderId="0" xfId="8" applyNumberFormat="1" applyFont="1" applyFill="1" applyProtection="1"/>
    <xf numFmtId="166" fontId="28" fillId="3" borderId="12" xfId="9" applyNumberFormat="1" applyFont="1" applyFill="1" applyBorder="1" applyProtection="1">
      <protection locked="0"/>
    </xf>
    <xf numFmtId="1" fontId="27" fillId="3" borderId="12" xfId="8" applyNumberFormat="1" applyFont="1" applyFill="1" applyBorder="1" applyProtection="1">
      <protection locked="0"/>
    </xf>
    <xf numFmtId="0" fontId="27" fillId="4" borderId="0" xfId="8" applyFont="1" applyFill="1" applyAlignment="1" applyProtection="1">
      <alignment horizontal="right"/>
    </xf>
    <xf numFmtId="3" fontId="1" fillId="4" borderId="0" xfId="8" applyNumberFormat="1" applyFont="1" applyFill="1" applyProtection="1"/>
    <xf numFmtId="3" fontId="27" fillId="4" borderId="0" xfId="8" applyNumberFormat="1" applyFont="1" applyFill="1" applyProtection="1"/>
    <xf numFmtId="178" fontId="27" fillId="4" borderId="0" xfId="8" applyNumberFormat="1" applyFont="1" applyFill="1" applyProtection="1"/>
    <xf numFmtId="43" fontId="1" fillId="3" borderId="0" xfId="8" applyNumberFormat="1" applyFont="1" applyFill="1" applyBorder="1" applyProtection="1"/>
    <xf numFmtId="166" fontId="1" fillId="3" borderId="0" xfId="8" applyNumberFormat="1" applyFont="1" applyFill="1" applyBorder="1" applyProtection="1"/>
    <xf numFmtId="0" fontId="30" fillId="11" borderId="0" xfId="8" applyFont="1" applyFill="1" applyAlignment="1" applyProtection="1">
      <alignment horizontal="center"/>
    </xf>
    <xf numFmtId="9" fontId="1" fillId="3" borderId="10" xfId="6" applyFont="1" applyFill="1" applyBorder="1"/>
    <xf numFmtId="9" fontId="3" fillId="3" borderId="0" xfId="6" applyFont="1" applyFill="1" applyBorder="1" applyAlignment="1" applyProtection="1">
      <alignment horizontal="left"/>
    </xf>
    <xf numFmtId="43" fontId="1" fillId="10" borderId="0" xfId="8" applyNumberFormat="1" applyFont="1" applyFill="1" applyProtection="1"/>
    <xf numFmtId="166" fontId="28" fillId="3" borderId="12" xfId="9" applyNumberFormat="1" applyFont="1" applyFill="1" applyBorder="1" applyProtection="1"/>
    <xf numFmtId="0" fontId="26" fillId="3" borderId="4" xfId="8" applyFont="1" applyFill="1" applyBorder="1" applyAlignment="1" applyProtection="1">
      <alignment horizontal="center"/>
    </xf>
    <xf numFmtId="0" fontId="26" fillId="3" borderId="0" xfId="8" applyFont="1" applyFill="1" applyBorder="1" applyAlignment="1" applyProtection="1">
      <alignment horizontal="center"/>
    </xf>
    <xf numFmtId="0" fontId="26" fillId="3" borderId="5" xfId="8" applyFont="1" applyFill="1" applyBorder="1" applyAlignment="1" applyProtection="1">
      <alignment horizontal="center"/>
    </xf>
    <xf numFmtId="166" fontId="26" fillId="3" borderId="0" xfId="9" applyNumberFormat="1" applyFont="1" applyFill="1" applyBorder="1" applyAlignment="1" applyProtection="1">
      <alignment horizontal="center"/>
    </xf>
    <xf numFmtId="166" fontId="26" fillId="3" borderId="7" xfId="8" applyNumberFormat="1" applyFont="1" applyFill="1" applyBorder="1" applyAlignment="1" applyProtection="1">
      <alignment horizontal="center"/>
    </xf>
    <xf numFmtId="0" fontId="1" fillId="12" borderId="1" xfId="8" applyFont="1" applyFill="1" applyBorder="1" applyProtection="1"/>
    <xf numFmtId="17" fontId="1" fillId="12" borderId="2" xfId="8" applyNumberFormat="1" applyFont="1" applyFill="1" applyBorder="1" applyAlignment="1" applyProtection="1">
      <alignment horizontal="center"/>
    </xf>
    <xf numFmtId="0" fontId="1" fillId="12" borderId="2" xfId="8" applyFont="1" applyFill="1" applyBorder="1" applyProtection="1"/>
    <xf numFmtId="167" fontId="28" fillId="12" borderId="2" xfId="9" applyNumberFormat="1" applyFont="1" applyFill="1" applyBorder="1" applyProtection="1"/>
    <xf numFmtId="0" fontId="26" fillId="12" borderId="3" xfId="8" applyFont="1" applyFill="1" applyBorder="1" applyProtection="1"/>
    <xf numFmtId="0" fontId="32" fillId="13" borderId="0" xfId="8" applyFont="1" applyFill="1" applyProtection="1"/>
    <xf numFmtId="17" fontId="32" fillId="13" borderId="0" xfId="8" applyNumberFormat="1" applyFont="1" applyFill="1" applyAlignment="1" applyProtection="1">
      <alignment horizontal="center"/>
    </xf>
    <xf numFmtId="0" fontId="33" fillId="13" borderId="0" xfId="8" applyFont="1" applyFill="1" applyProtection="1"/>
    <xf numFmtId="0" fontId="1" fillId="2" borderId="0" xfId="10" applyFill="1"/>
    <xf numFmtId="1" fontId="1" fillId="4" borderId="9" xfId="10" applyNumberFormat="1" applyFill="1" applyBorder="1"/>
    <xf numFmtId="3" fontId="1" fillId="4" borderId="10" xfId="10" applyNumberFormat="1" applyFill="1" applyBorder="1"/>
    <xf numFmtId="2" fontId="28" fillId="4" borderId="10" xfId="10" applyNumberFormat="1" applyFont="1" applyFill="1" applyBorder="1"/>
    <xf numFmtId="9" fontId="1" fillId="0" borderId="11" xfId="10" applyNumberFormat="1" applyBorder="1" applyAlignment="1">
      <alignment horizontal="center"/>
    </xf>
    <xf numFmtId="1" fontId="1" fillId="4" borderId="4" xfId="10" applyNumberFormat="1" applyFill="1" applyBorder="1"/>
    <xf numFmtId="3" fontId="1" fillId="4" borderId="0" xfId="10" applyNumberFormat="1" applyFill="1" applyBorder="1"/>
    <xf numFmtId="2" fontId="28" fillId="4" borderId="0" xfId="10" applyNumberFormat="1" applyFont="1" applyFill="1" applyBorder="1"/>
    <xf numFmtId="9" fontId="1" fillId="4" borderId="5" xfId="10" applyNumberFormat="1" applyFill="1" applyBorder="1" applyAlignment="1">
      <alignment horizontal="center"/>
    </xf>
    <xf numFmtId="0" fontId="1" fillId="2" borderId="0" xfId="10" applyFont="1" applyFill="1"/>
    <xf numFmtId="3" fontId="28" fillId="4" borderId="0" xfId="10" applyNumberFormat="1" applyFont="1" applyFill="1" applyBorder="1"/>
    <xf numFmtId="0" fontId="29" fillId="13" borderId="6" xfId="10" applyFont="1" applyFill="1" applyBorder="1"/>
    <xf numFmtId="0" fontId="29" fillId="13" borderId="13" xfId="10" applyFont="1" applyFill="1" applyBorder="1" applyAlignment="1"/>
    <xf numFmtId="0" fontId="29" fillId="13" borderId="7" xfId="10" applyFont="1" applyFill="1" applyBorder="1" applyAlignment="1">
      <alignment horizontal="center"/>
    </xf>
    <xf numFmtId="0" fontId="29" fillId="13" borderId="8" xfId="10" applyFont="1" applyFill="1" applyBorder="1"/>
    <xf numFmtId="0" fontId="1" fillId="0" borderId="9" xfId="10" applyBorder="1"/>
    <xf numFmtId="0" fontId="1" fillId="0" borderId="10" xfId="10" applyBorder="1"/>
    <xf numFmtId="2" fontId="1" fillId="0" borderId="10" xfId="10" applyNumberFormat="1" applyBorder="1"/>
    <xf numFmtId="0" fontId="1" fillId="0" borderId="11" xfId="10" applyFont="1" applyBorder="1"/>
    <xf numFmtId="1" fontId="1" fillId="0" borderId="4" xfId="10" applyNumberFormat="1" applyBorder="1"/>
    <xf numFmtId="1" fontId="1" fillId="0" borderId="0" xfId="10" applyNumberFormat="1" applyBorder="1"/>
    <xf numFmtId="9" fontId="28" fillId="0" borderId="0" xfId="10" applyNumberFormat="1" applyFont="1" applyBorder="1"/>
    <xf numFmtId="0" fontId="1" fillId="0" borderId="0" xfId="10" applyBorder="1"/>
    <xf numFmtId="9" fontId="1" fillId="0" borderId="0" xfId="10" applyNumberFormat="1" applyBorder="1"/>
    <xf numFmtId="0" fontId="1" fillId="0" borderId="0" xfId="10" applyFont="1" applyBorder="1"/>
    <xf numFmtId="0" fontId="1" fillId="0" borderId="5" xfId="10" applyFont="1" applyBorder="1"/>
    <xf numFmtId="9" fontId="28" fillId="0" borderId="0" xfId="10" applyNumberFormat="1" applyFont="1" applyFill="1" applyBorder="1"/>
    <xf numFmtId="0" fontId="1" fillId="0" borderId="4" xfId="10" applyBorder="1"/>
    <xf numFmtId="164" fontId="28" fillId="5" borderId="0" xfId="10" applyNumberFormat="1" applyFont="1" applyFill="1" applyBorder="1"/>
    <xf numFmtId="0" fontId="28" fillId="0" borderId="0" xfId="10" applyFont="1" applyBorder="1"/>
    <xf numFmtId="0" fontId="29" fillId="13" borderId="4" xfId="10" applyFont="1" applyFill="1" applyBorder="1"/>
    <xf numFmtId="0" fontId="29" fillId="13" borderId="0" xfId="10" applyFont="1" applyFill="1" applyBorder="1"/>
    <xf numFmtId="0" fontId="29" fillId="13" borderId="7" xfId="10" applyFont="1" applyFill="1" applyBorder="1"/>
    <xf numFmtId="0" fontId="30" fillId="13" borderId="8" xfId="10" applyFont="1" applyFill="1" applyBorder="1"/>
    <xf numFmtId="166" fontId="34" fillId="4" borderId="12" xfId="9" applyNumberFormat="1" applyFont="1" applyFill="1" applyBorder="1" applyProtection="1">
      <protection locked="0"/>
    </xf>
    <xf numFmtId="17" fontId="17" fillId="8" borderId="7" xfId="7" applyNumberFormat="1" applyFont="1" applyFill="1" applyBorder="1" applyAlignment="1">
      <alignment horizontal="center"/>
    </xf>
    <xf numFmtId="0" fontId="11" fillId="2" borderId="0" xfId="11" applyFill="1"/>
    <xf numFmtId="164" fontId="35" fillId="14" borderId="0" xfId="5" applyNumberFormat="1" applyFont="1" applyFill="1"/>
    <xf numFmtId="3" fontId="35" fillId="14" borderId="0" xfId="11" applyNumberFormat="1" applyFont="1" applyFill="1"/>
    <xf numFmtId="9" fontId="35" fillId="14" borderId="0" xfId="5" applyFont="1" applyFill="1"/>
    <xf numFmtId="0" fontId="35" fillId="14" borderId="0" xfId="11" applyFont="1" applyFill="1"/>
    <xf numFmtId="0" fontId="11" fillId="0" borderId="0" xfId="11"/>
    <xf numFmtId="3" fontId="11" fillId="0" borderId="0" xfId="11" applyNumberFormat="1"/>
    <xf numFmtId="179" fontId="0" fillId="0" borderId="0" xfId="5" applyNumberFormat="1" applyFont="1"/>
    <xf numFmtId="180" fontId="36" fillId="0" borderId="0" xfId="11" applyNumberFormat="1" applyFont="1"/>
    <xf numFmtId="3" fontId="37" fillId="0" borderId="0" xfId="11" applyNumberFormat="1" applyFont="1"/>
    <xf numFmtId="9" fontId="0" fillId="15" borderId="0" xfId="5" applyFont="1" applyFill="1"/>
    <xf numFmtId="9" fontId="0" fillId="0" borderId="0" xfId="5" applyFont="1"/>
    <xf numFmtId="3" fontId="36" fillId="0" borderId="0" xfId="11" applyNumberFormat="1" applyFont="1"/>
    <xf numFmtId="0" fontId="38" fillId="16" borderId="0" xfId="11" applyFont="1" applyFill="1" applyAlignment="1">
      <alignment horizontal="center"/>
    </xf>
    <xf numFmtId="3" fontId="38" fillId="16" borderId="0" xfId="11" applyNumberFormat="1" applyFont="1" applyFill="1" applyAlignment="1">
      <alignment horizontal="center"/>
    </xf>
    <xf numFmtId="0" fontId="38" fillId="16" borderId="0" xfId="11" applyFont="1" applyFill="1"/>
    <xf numFmtId="164" fontId="0" fillId="17" borderId="0" xfId="5" applyNumberFormat="1" applyFont="1" applyFill="1"/>
    <xf numFmtId="3" fontId="11" fillId="17" borderId="0" xfId="11" applyNumberFormat="1" applyFill="1"/>
    <xf numFmtId="9" fontId="0" fillId="17" borderId="0" xfId="5" applyFont="1" applyFill="1"/>
    <xf numFmtId="0" fontId="11" fillId="17" borderId="0" xfId="11" applyFill="1"/>
    <xf numFmtId="0" fontId="39" fillId="5" borderId="0" xfId="11" applyFont="1" applyFill="1" applyAlignment="1">
      <alignment horizontal="center"/>
    </xf>
    <xf numFmtId="3" fontId="39" fillId="5" borderId="0" xfId="11" applyNumberFormat="1" applyFont="1" applyFill="1" applyAlignment="1">
      <alignment horizontal="center"/>
    </xf>
    <xf numFmtId="0" fontId="39" fillId="5" borderId="0" xfId="11" applyFont="1" applyFill="1"/>
    <xf numFmtId="164" fontId="0" fillId="9" borderId="0" xfId="5" applyNumberFormat="1" applyFont="1" applyFill="1"/>
    <xf numFmtId="3" fontId="11" fillId="9" borderId="0" xfId="11" applyNumberFormat="1" applyFill="1"/>
    <xf numFmtId="9" fontId="0" fillId="9" borderId="0" xfId="5" applyFont="1" applyFill="1"/>
    <xf numFmtId="0" fontId="11" fillId="9" borderId="0" xfId="11" applyFill="1"/>
    <xf numFmtId="4" fontId="36" fillId="0" borderId="0" xfId="11" applyNumberFormat="1" applyFont="1"/>
    <xf numFmtId="9" fontId="0" fillId="15" borderId="0" xfId="5" applyNumberFormat="1" applyFont="1" applyFill="1"/>
    <xf numFmtId="164" fontId="0" fillId="18" borderId="0" xfId="5" applyNumberFormat="1" applyFont="1" applyFill="1"/>
    <xf numFmtId="3" fontId="11" fillId="18" borderId="0" xfId="11" applyNumberFormat="1" applyFill="1"/>
    <xf numFmtId="9" fontId="0" fillId="18" borderId="0" xfId="5" applyFont="1" applyFill="1"/>
    <xf numFmtId="0" fontId="11" fillId="18" borderId="0" xfId="11" applyFill="1"/>
    <xf numFmtId="181" fontId="36" fillId="0" borderId="0" xfId="11" applyNumberFormat="1" applyFont="1"/>
    <xf numFmtId="181" fontId="40" fillId="0" borderId="0" xfId="11" applyNumberFormat="1" applyFont="1"/>
    <xf numFmtId="0" fontId="36" fillId="19" borderId="0" xfId="11" applyFont="1" applyFill="1"/>
    <xf numFmtId="0" fontId="35" fillId="11" borderId="0" xfId="11" applyFont="1" applyFill="1" applyAlignment="1">
      <alignment horizontal="right"/>
    </xf>
    <xf numFmtId="0" fontId="35" fillId="11" borderId="0" xfId="11" applyFont="1" applyFill="1"/>
    <xf numFmtId="0" fontId="17" fillId="11" borderId="0" xfId="11" applyFont="1" applyFill="1"/>
    <xf numFmtId="17" fontId="35" fillId="11" borderId="0" xfId="11" applyNumberFormat="1" applyFont="1" applyFill="1" applyAlignment="1">
      <alignment horizontal="center"/>
    </xf>
    <xf numFmtId="3" fontId="41" fillId="0" borderId="0" xfId="11" applyNumberFormat="1" applyFont="1"/>
    <xf numFmtId="164" fontId="0" fillId="6" borderId="0" xfId="5" applyNumberFormat="1" applyFont="1" applyFill="1"/>
    <xf numFmtId="0" fontId="38" fillId="13" borderId="0" xfId="11" applyFont="1" applyFill="1"/>
    <xf numFmtId="3" fontId="38" fillId="13" borderId="0" xfId="11" applyNumberFormat="1" applyFont="1" applyFill="1" applyAlignment="1">
      <alignment horizontal="center"/>
    </xf>
    <xf numFmtId="0" fontId="38" fillId="13" borderId="0" xfId="11" applyFont="1" applyFill="1" applyAlignment="1">
      <alignment horizontal="center"/>
    </xf>
    <xf numFmtId="166" fontId="42" fillId="3" borderId="12" xfId="9" applyNumberFormat="1" applyFont="1" applyFill="1" applyBorder="1" applyProtection="1">
      <protection locked="0"/>
    </xf>
    <xf numFmtId="43" fontId="1" fillId="4" borderId="12" xfId="9" applyNumberFormat="1" applyFont="1" applyFill="1" applyBorder="1" applyProtection="1">
      <protection locked="0"/>
    </xf>
  </cellXfs>
  <cellStyles count="12">
    <cellStyle name="Comma" xfId="1" builtinId="3"/>
    <cellStyle name="Comma 2" xfId="9" xr:uid="{F20A2C2D-CB49-4724-846B-06CBC544319C}"/>
    <cellStyle name="Comma_Pre-Cigar Box Paprika v3" xfId="4" xr:uid="{EDC235F6-ECC3-43B0-A169-767DA5284E1D}"/>
    <cellStyle name="Normal" xfId="0" builtinId="0"/>
    <cellStyle name="Normal 2" xfId="8" xr:uid="{5F9C0AD9-C3A6-4880-8FD0-6F2882675573}"/>
    <cellStyle name="Normal 2 2" xfId="10" xr:uid="{177EF453-15E4-43DF-8327-3D37B631C0CF}"/>
    <cellStyle name="Normal 3" xfId="11" xr:uid="{6C1483AA-65F1-4B34-9B43-ED57C73A367F}"/>
    <cellStyle name="Normal_Pre-Cigar Box Agroplast v4" xfId="7" xr:uid="{E7C424B2-BA17-408D-BE00-79607EF8E318}"/>
    <cellStyle name="Normal_Pre-Cigar Box Paprika v3" xfId="3" xr:uid="{22FBBF2A-D728-4C59-872B-92C10E55A48E}"/>
    <cellStyle name="Percent" xfId="2" builtinId="5"/>
    <cellStyle name="Percent 2 3 2" xfId="6" xr:uid="{511C855C-CEC1-4920-BAD3-E9A19F6132AF}"/>
    <cellStyle name="Percent 4 2" xfId="5" xr:uid="{10156DB2-7662-46B3-B9DC-E5463C1EC761}"/>
  </cellStyles>
  <dxfs count="20">
    <dxf>
      <font>
        <color theme="0"/>
      </font>
      <fill>
        <patternFill>
          <bgColor rgb="FFCC3399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lor theme="0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C3399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lor theme="0"/>
      </font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strike val="0"/>
        <u val="none"/>
        <color theme="0"/>
      </font>
      <fill>
        <patternFill>
          <bgColor rgb="FFFF0000"/>
        </patternFill>
      </fill>
    </dxf>
    <dxf>
      <font>
        <b val="0"/>
        <i val="0"/>
        <strike val="0"/>
        <u val="none"/>
        <color auto="1"/>
      </font>
      <fill>
        <patternFill>
          <bgColor rgb="FFFFC000"/>
        </patternFill>
      </fill>
    </dxf>
    <dxf>
      <font>
        <b val="0"/>
        <i val="0"/>
        <strike val="0"/>
        <u val="none"/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strike val="0"/>
        <u val="none"/>
      </font>
      <fill>
        <patternFill>
          <bgColor rgb="FFFFC000"/>
        </patternFill>
      </fill>
    </dxf>
    <dxf>
      <font>
        <b val="0"/>
        <i val="0"/>
        <strike val="0"/>
        <u val="none"/>
      </font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306916</xdr:colOff>
      <xdr:row>14</xdr:row>
      <xdr:rowOff>0</xdr:rowOff>
    </xdr:from>
    <xdr:ext cx="1952625" cy="1609725"/>
    <xdr:sp macro="" textlink="">
      <xdr:nvSpPr>
        <xdr:cNvPr id="2" name="AutoShape 2" descr="data:image/jpeg;base64,/9j/4AAQSkZJRgABAQAAAQABAAD/2wCEAAkGBwgHBgkIBwgKCgkLDRYPDQwMDRsUFRAWIB0iIiAdHx8kKDQsJCYxJx8fLT0tMTU3Ojo6Iys/RD84QzQ5OjcBCgoKDQwNGg8PGjclHyU3Nzc3Nzc3Nzc3Nzc3Nzc3Nzc3Nzc3Nzc3Nzc3Nzc3Nzc3Nzc3Nzc3Nzc3Nzc3Nzc3N//AABEIAKIAyAMBEQACEQEDEQH/xAAcAAACAgMBAQAAAAAAAAAAAAAFBgMEAQIHAAj/xAA6EAACAQMDAQcCAgkEAgMAAAABAgMABBEFEiExBhMiQVFhcRSBMpEVIzNCUqGxwfBi0eHxB3IkNEP/xAAbAQACAwEBAQAAAAAAAAAAAAADBAECBQAGB//EADQRAAICAQMCBAMHBQADAQAAAAECAAMRBBIhMUEFEyJRYXHwFCMygZGhsULB0eHxFTM0Bv/aAAwDAQACEQMRAD8ANxpXnyYrLUacVQmdJ0SozOkyriunTcLXTpttqJ2ZkCozOm4FdmdMgZ6V2ZM2AqMyZIIn2b9jbfXHFTzO2nrM4/lUZnTwFdmRNttRmTM4rszpsKnM6bgVOZ0ztrszpkLXTpldynINdnE6WknSTatwgYDofNadp1ZXh+RC12snSVrqy7osE8VvJ0/0H3pw4I3LyJq06gOAe4gYKbWfuGPGcxMfI+lCHoPwmlkWLuH5zeR8+L8Jzwf4TUvxzKqMcSNyGUnGCT4wP3T61Gc9ZYcHH6QdElZxnkJZjSqzpOABXTpkYqJ02FdmdNhUZnTcCokibKMngVGZOIDv+1ul2MssEnetMhxtC8H71y7mXIE9FR/+cvsUOzAKfjBt52/ZoRDpNnELlzgPId/8ulXUv3GB+8K/hFNByWzBl1f68L6JpNZk+oA8aIgCIT1AFdZbUex+eYEJjoOJYue0WtWfij1Q3CDkqyLz80Ntli7ATj+8JUlbt6lkum9ty90kdyV2v13jbtqo09obhuI/d4Zo7q/TwY4xarYySrHHcK0jYyq84z7iiuu04HPynn7PCtQql8cCX1XPlQ5m7TM4qcyJsBUzpsK6dNsVM6exXTp7B8utdOkkMzRH1HmD50Wq56zkSQSDkTTUbGK9hLxDDdWHn9q00dLxx19pqaTWFTgwF4iSkv7RRhh/EvrVBkHBmxgdR0niShDKcsBx/rX0qpGJ2M8H6MqR8UiZ46SmRUGWIA9TVScdZKqWOBNkbeOCvyDVVYN0lmRlI3cTbNWlJuAfaqkSZsKicJkyIv45EU+jMBVHdVGSYzVpbrR6FgbtHqEsduIbSaIO4JPi5YeimoCmw8dJ6Lwbw8ITZevMR9TsIJvpzJfBnKkGLHiU58z5gdKcpdvwhZp6nUuxIWb22n21lAk+4gyt3cKsDuc5HOK6yqx+P2iTZPWOOnaXBaac15exBmkbu1Vhkj1P51lWb0X88Yi+zdZtEpwaFZXVzO810VQSbVjYYHvmiVWAgLnmXNbrg4hxtU7O6VEbYx2jLtCuNoJx6jNahbYMgg5lV0OosORxBT2cFvjV9EuRCkZJuogM5T29DihBfT7/AC4jq+aWFFvIPT/sp6rqt9qF9DPpbOVaPA7t8eLz8OeKr5IuYlOMRqmqnSpsvXvD2hdrbW5iWLUg9vcLw7MPCT/agOQpw0xdZ4PuYvQcj2jJDNbz8wTxyA9CrA5qAw95iWaS6v8AEpku3HWrxeZArp0yBUyJ7FdOmCK6dN4mZCNpxipVipyJMr6raLdJ38XE0fiwo5b/AD0rTqtW8Ybhpp6PWlPS3IMXDqAnQG1tW/abWeTjYfjrVieMTaWv3bMwg4rPM8bIb8RvbNFLN3Xe+BWxnk9KqqeYdnvHfD1bz1ZR+Hk/KI8WrajpVx32GMJOwlwCPUg46GrnThSds9U2mo1teG6/vHPRdZtdUUBHCS45TOc/FBB7Geb13hd2kOeq/XWG4bdm3MSAqDLMf3fmpCcFuwiFVbWNtWLd3r87X7W+nxxvECT3rDnA/pUacm3IxNn/AMalSgseY2R9k7OXSUjvJZTcOBK9wG8e4jJGfSnHqWleDg4zn+ZRdS6tgdPaI+qT2tvfzW1lLKtvBy42bixH7xODjpSCE3KWA4PT/M9Tp1fygzgZP8e3XmU4bbTtU1O0tmaUQtHvcAYM2M/veY56Vq6SxdoRli+oosXdYMf4jDpKNfTyajLpgFnZZjgDZyExxhcdR65/rQ9ZY61iwLz/AGitu1PuA3J/mE7XVdPeK1mlvdwEwY8cbuRtIxWL5hS0NyeOc8wF1Fm5lC4kEOl2OoJf2cjItxcB2iuE6pznp+X2pnSWVP6HHOOvyMNZfdTstToMAiLmmdiLiyEt5fd277iRgiQbemfk1vJVtqyO8s+s82zgkTPaeWLR2a20worb13qy4SXKA5+fFSFq7LCo7RzSE6gBrOf7cy1/46SC9vLlbu2jQrGMFlDA56n2+aWDAWjJ6/D+YPxgslahYaumsdIT6h1gkjLt+H94+1Rqgz1A14+vaKKWt9PKmLmo6lZ6oGl0+E2t0pypjbGT8VnpVaG9eCJo16e6kctuEP6V2gv47EC+sJZ5AuVkiPDD39KZKug4GRM3UeFae6zcr7c9QYyWF3Hew95GCPVT1WpVg0wNXpW0747S1VorPYqZ09ionTGKmdMr4TmunQVqen4ke9thlX/bxev+oe9PV3bzz1/maej1mz0P07fD/UEg+uMDk5pVjgZMyEUuwUQT2m1Gwh0xgZBLLkMoU47sg53H3FBFpZwEnpfCfC767fNs4AiP+mfqOyktg9nHia8M31LEJg54I9fMela4V+F7R4ugv3gwZdG40y/aPJHmoDcEUJqw45mtp9RuUbuYZTtjqSaeba4vGEOMJk4Ofc+dAs0/m4X2grKtHS3mlQMw1pmu2mrWMlpMIIZnwveooUPjHhP+9cXao7WXiLXaNbPvaDuEe9D7Q/XaE9l449Vtcwssgwcr0b4I5q2stV6hWPxHoZg/ZttuT+GI2sQ6bbPbXV7dXMF1M7mW3ZGAQ5wwyOSOuD58UStK6lAXkzertssygA2jp8f8SC+u9H0FhDYXMV0s3MfcSHMPTPXyOPWusHJKc/qISktdhX9Pz7yvPr0lw0Fvpc12JYFDBCSFkz1A9+vNCGm84AnqYvqHFLsLFz8YPEer6gCsuyARu36otxGQeSa40VUHBOfjDUWm1dwTrDUWtS2VvDDLf5EXLjbnI8x5cGkzSrnI/KNHRbgTjB94Wsu12l29jcRQlvp1Jk2Snc0jE5wD5cnPTypimzVg7WbAHb/sSPhT5Vifz9oG1zUdOvNFmubU95cbssrMAwGep9cZ4pkvvOTwYerTPp2AbpF/T9fvrC1ax02Nf/krsJYefzxUDT7juJ4iutsrcrjqJc0e4nuGt7OdnR42LqzDcTz/AL/1od58kZI4hrmD1be5jPddoLae57i+tVkGeFADOp9+PilFsu3eYDn4HpF6gyD0nE1uO0Z0Nms5IGke4jLtvXYShyB4QcZ4NNHLV5KjJ6/X+oTYmoOd2CvT66yfQ9aNr3V7DYCKyLbQEzucqMMxPoP60K5CfUB+nwnW0LqazW7nd8f2nRLeVLiBJozlJF3KfaghgwyJ462tqnKN1EkAqYOZ8q6dPYrp0xipnTI8PSunQB2i1Ow7MWEkyWgvJY9olycBQemfn0rXdqqz5aDJ7x7R+HG3DOcDtOXaVbafqXaTdI7Gyw0skR5y37q/0pKslK8kc9p6/WWvXUFBzIO0dtqJ1M6hMkauVLW9pgBYox0JHmM+XvWlSmyrJ6955xzmzH6QdrVjfwPE+qwLBLLGHXaQd3vx0pZ6jS2Jr6a0eX8oOksJpYHnZ1MSt4mY+tXU45ELYVcbTDOgaShsWuBdxhQ23ukByvvjzFB1PqXPUwOmsOmbaIbaRlNqs9052jxOgyYVzjPx7UgEB47TSdUtQ2KvP8wprPZ3vNOQXl8JJ4t0kZzlJFPTaevOOQaaqCV9P+zNFpc+kYnNtQuLa4lTfp720ofDyQdGHlhDTynPOZVyVOOSYU0/Un0ZVm7ibBAKJOvhPwwNKsgduMTSW8NXsYESe41qb6WS6WILbSN4F6gnqefX1qvl7iEML5qCsuO31/HSL13qffB96qrcDIGPv700tI4xELNYSDzIwJkQYLrxu8akZHtnqKsQMyiXORgGZuDOtosggbxPxIBwOahFUt1gtXqbUQASd3Ec6THvNyr+HAOeODUAFeMSlbK2W7Qrpmuosc89x/8AYEYSL1J9SfTn86Wvp3jaecnMImC24dIM/SExuXljlbvM8FWwfuaIKlC4g3v5wJbtEa8kj7+Uly+N7nrn1PU1R2weJWliLBt7w3fW8m+C0iuPFGe57tRkN1yd2cYOfSlwQASZsb1pQM3A6zrnZzNvpNnbyMC0cQViOmaXxPC6q0W3s47mGBzXQEzXTp6unT1TOnq6dOIdp+0N9eNdQanbNEzDIHeHGATxjzptV3Nvzk5nvXprppIq7D9ZJ2A7L3vaG3Mo1D9Hw7+Wh8TSKPLHrn1/KtF6qWG15506u7lj0jhc9h1tb6f9ZA8MqHEtzFvYKPI8+v8AXpUAitSuduDmBVt5BihqcS3+sOiKkkdrE+4HOHYnoPQ5NLi0MxJ/L4zdvU01L7mbWbi71J4rq6hs0tkKs8KgBtoHh5GD+XNW8weYQ7cRANhcqMxy7Odj9Nswmt3kUsZMfeC2Y4UcdWH9unPSqsyZBxiCs1NhzUpz8YrXV3dSx3Dfo+ztYGZgd8rB1Geo48I9qz3WotjvPRUgrtLE8CBb2+1K4tY7HTla7tkiVjIOdobnBz0IOR9qcNCI2SeImtoY9OcmVLLRrm5jZJjtvN36gSSZwoXODjPGP54onm1EECWVLFPmkcD+8rre3Omoyd4G58ShgwPyDxQwu45E0vMUr94uZMmsQSRukum2LhxzuhwR0/DjoePKu2vnOYN6a7ANkqSW+lSLs+n7vPV1YsR+ZFXFz5kHw3Tsvq5MtXOpa5b2O2G+W4t44du9YtskaDoDjr1HPpV1ep26YMzrKNTpzkkFZp2eWTVFMKTKJUXhSM8Y6fFDtBVsw9dyMmDzItbtbmx7y4eAvkqJd/WMYwuPVenNErs3Hy369vjFNXR5S+bUMr3+EXZHJmwhZmfyXzpgLxMtrTu47xi0zQJSi3NwwVBgmNOXIz0wOlJ3Xdlmjp9A7MGsMOW9zbafZzRwWSpKcF3mYO5UE5PTjHtS7739I6TTr0lNT7yZNaX+n2Nwk1jbRTSDxGWXLEn+mKW+8yC3btGG0KahMWNwY+dku0Tatfm3lsdsZGO9jGAG+3lRawC6hh14mB4l4dVSuFjaxWKcQlv1hGcUO8CmwVN1mAdOxXevSSA8nH9ar3xAMpU8zNdInqmdMV06cjNzFdXl9ZaugLxsQQSBuO4gjnj0qSrLznn+8+hqoNaGroR8+JF2dnuOzdyz2dtLNaqjyAI+QCMZGOnnTNbG0b/6hMrXULWdo4BheLt9e61JHFp+lBFIxc3PdDOM48PPAB9aO1jjJOBj26xXT6WtWG4/lNLW703S9cmj1KGZu8k8Q6Jt8zn5OaHTXXZ68Z/OMa2xmRQJP9Toc294JGlhs2Bjifhx6H3HGM8dKM256wAuew/zEBvU5Y4zBXaDtnd6jbDSbaTe802XaI+FhkgD29T8UNksClX6DvDaVKxYG7wZc286WZtl2zzMjBtpwI8DnB9OPWla8M3Hbmekz6M2cSW4Uw2AsLGWOMxd3E7btm4BBuP5nr80y3LENAUIFVSR2k66GqBLaO7bnakzp4S2QCwLHyxnj1qGtrR9p4A/SVs1DsM4+X13lrVNFsre1/VwwTQnlDbpukUHPmRz55+Ku1g/pII+EBTazHD5B+PSJ1/o7OFbSFlmHCtuX8TY5IHkKuHrMJ9/kk4ErRafqdvOhaPuXzlWkYLUFkPEJufkGHrGEvdTS3U5ubiVMLDEpcuQMfixjyquExgcmQLHCgdBFjVLO+0C6hvGjltd7boXU8+uOOhx5U0iF6wD7TMturqfJPf2hd+1s95aCO4top3YbDKy549B/mKXegnOTNCq6nII79vf/Up6Zpgt9Ta5iVEVhhYmbG0dWI9sA/nU/aCa9veLnw5atT5i/hxn5S7Dq9zpu57ZY0Z2IkbaCJAfXFC2HfkmPqUsQZE9v+t1ATWpaYiDMzDgJyc5J+1QcqnMG1QZxt6wjZ6K08ErxyRI0Z8abiw9sHp0pdrFz6ozvenAYdZt+iZEP6vU4reXplZykifG3z+9Slm31CTaDchRkOD8Iamk7QvZx2xuLi8VOO857xx/qYf90At5z5YRSmnS089/jCnY3VYobyOC2uLgxSErNBcHc8L+X2z5/mK69FQhlGMxPxTTtfSS6jcOhHcToY5Jrp5Aj3ma6RMGpkRB/wDIegG3vv05ZRL9OQDdon4twYEN9+h+K1dfp8DeonpfBfEgR5Dnnt8vaCLPUI5dSEVrDIbW3UqHxgg+Z61kWG0AMh6dPlN27TK1WbPxH6xDM1nMbJ7axCoLggNHAg6eufMV1eoYkV54PXHSZtXlJZvI/D7yuVfSZLa0vb7fdTnawVfDgeZPlipp2liingdfbmc7LeS6LxFjVuz81zeztZ3Uu9rli9zGmyLuyTnDEZOR5c/NPDVLWPgIoaHswAMGb3sHZ+xMM1lZCSeHKNidhv8Acr6+/nmhtqHsTb79ZrUeHFLPMYke31mVrfUC008t4m1Ad2eQZVP7gX38z5CprQJhz9f6jVymwipOB/HxmlvtuNThZkaXB7+QLxlichefKrqcHfiTYfQVHyjNbm3sYZtR1chGXLLGRkKT7evNdVSMGx+sRfdYQlfT67ynqfau3iijubWFJw4yrRzDIOMeMAZDYohCg528waIoJQnp9cRU1TtXc3oijtLY23d5/WZ5B5/D6dSM0XYuzBlBb96Tg/n/AIi5Lf3LXIE8hkycZcBiPz/wUautMdInqtRbn0mFljFnppubi5iF2rYjj2uufYY48854qStZHEpTqrgQD/Mli1Jb+wew1dZLgA5SXO54z689fTFLhfKJKTUK13ph+Jrc9nn+i76znMYij3tG6lSQODn0PmKJ5gxlhAvpmVgtbf7lfUrafS3jsJlZ5pYwipG2d7FiOPyx9q7y8tn2lzqVSkgnOePzj2+n6LYabbZhiknWMK6SDwqQOfnJP86zXuyd1ecmM0JafS/AHeD7y/WGAtJGlpD0igVfxH4HRaomnJfLHmXOo2+mvn4wfda3bxSRy2NxIZDHiXcvV8c4z5fajNp+ZWvUWY229JNp2pzyI0hjSe3Gd4ZQeT1I9/eoKMBtjodGHXB/P9JLb3zvKGuLmVgThSGPHtigMmDiNlEKehRDcksU1za3tvBLLcRgBpUyrgj+IjrVWZm9KzPFJUMjnAPbtGzQu0ckriC8t51UkkTSY4+fb3qCrgfhnn/EPCVUGyphn2EavvmunmjM1M6JX/l3Wo9N7PtZRHNzcsF/9R1z88Vu6qzewr/Wa3hGkIY3noJyXTddsiIhM4t5go7ySQlhK32pC/Sv/QMiej0viSdLW5jxp/ae30+KADUN0bKWDhN27268VlHTuWPBEPbpk1HqwP1+syDUdYtLu4+r72QsBtGDtBz/ADrlrdfTDU6Mou04xBmq9q91slvIv6uMeEEjr60zXpnfGTJ8qjTEuTzE+e/mup8rlpGby4rSWkKvMzrvFA7itOT+0tWFxeNLAjB+76NJMCQBnkgmosRME94MX2ghV/OMdtqaaF39xAEkyCkbMuSWyMsc+gBx5UFQ7IM8ZjJxaMHgdev7SDs32jY65Nc3U+2BYtmHH6vaTyCOnJ556mr31MUAU8xLUXK529ZjtFo1ncahHJpssFrZ3J6If2T+YA/eHn5VOnu3L6+oiNrWA5BizrOk3OmO2+VJ4weHjJ5+R5U0jIxws5rmC5MdtM/8dLdaPDOb6L6ruRIVRtxBPOMferh13bRBF3I6Qdb9jwzrLePI+5cozNlXbONg8wR0+x9KKpTEn7M7N1jFa6Jb6bZmZ7WN5O8A3qR3kZAIOB5Dgn3oRwF6TSrAdwA3+IGvNWNvYG2mtIlkm2mY5ALruzuPHXyAPkKVyWUCOlQLCQcgdPhJNJe21XV2vpYlafkxO3jEQwfDkjHqenrQXZmbbnA9veGOmRahbwT+8IXcy3Vx3kQWXpFFGEHUnggdBXAZJIlWGF2Nx3Mr6n2bs9OcfpW83Skd5sD7nwegA+3WiMppOG4/mCqZtQv3Y46STTOzh1DSpZ9PtVhDMwBb99eMqGP+3r16VG87PaCvZKbMMc/KCu00KabrRt7GB7basYXa45OBklhVn2vgjgYl9NcRXknMpy6pZtc7GtzC48LGNuGHoc0uK329YxTeQ3JzCGnyXoYPpjSTR7gFaPOQfIMPKhmgk8R5r6WXFuI2m6u7DTIZ7uRXnlcgcZGB1H5kUNy9aBlbn6zM0V1XXMqDAAjT2S1b9JWHdzH/AORBgNxjcD0P+elBU56zy/iulFF2V6GHhVhMucG7a6hdalrMsl/ORkMkMZHCnow9iOPnNbCMWBYnJnrAi10rXWML/MQtQfvpAAoUINvvTNeVGTMq5fN49pWEs0IwkrAdcA1fajckSnm6igYRziSC+uinilJA8/Oq+TWO0KPEdUV/FIHmkk/as7f+1XCqOkUsuts/9hJhHRXdLyN1JLIwwPX2oOoxtM0PDAvngzorXV1LtgDXYh2jwQEHB9MEj+XqayNPRW3OORPRWIqP2595Vl0221W/srC0ZlkypeKaLwhc4IIHn58+uKdD7ev5RDWkqu0frDb6Bb6FLc21hbpcQPC8hlcZbGPEF4wD5ewzQUuFjjf0mSQwXjrEZtLv57qCA7IrB59xAccYB9PbP505lF3e4g28xiPaUtRLy6nNZLuNusnG87iB1xk9ahANofHMYXczbO0PWGipG1vO0lx3DyBZMHG3J4zz5iofbjdiP0Lj0iOdhFbaXbyLJdGeYOwigjJfryvHuT15HrVVtRB6Tkxhq7bSOMLxk/zKuq62bGylhDI14pB3p+Fc+Rz5g5+/NVa47SueYevTK7hsYT27zm+q3TzTP3zMzM3iOeWPvVq1wMwWrsUnb2hvR7p2s/pbWHcQu0YGWVeWIB9+TQLAxJMdQolQ29pe0K8ljvkWFI5JJ1aOIP8Ahy2ACf51KHy+kHZtZPV0HPHXiNMuiQ3EUrXl673vWRXYFJD/AAq3PP8AKl2tqVyHPT64i66thgInp7e4+JjF2Q7PTpbpuvM2gbMkLLwfbGcf1q6hHO5W9I+PH6TN12rUMfT6uxg/tj2Z0W4u2nOqNb3Kg7Is7ucDjHoMcDPmaXbVNWoXqP3/AMQOla5u3XvOOX9tPb3Mtuy7pe8wAnNaaMrAMDxiOZZDgy/2e1270K7e4tXO10Mc0RbAZT5fPvUHPbiMGtXUZ/5Ckvae9vx3Tsq268JAowqj2Hr7+dKW1ZA+Ee05RfVjnue5h7sNqsydoLVVJ7uTMT/BH+9KugUZmd4xULqC47TsAqJ42cF7UT2d9q93cDO0kuuCdoywzuz7Z6Vo12DezKOCZ7UUOmnVH6gc/l7RH1FYVnY267Uz4c+Y55rQU5mOyhGlFuaIIrZkmZUBSDgnjp61x5gx6TmYlm38D+lQFxOst38CXtIuTaXiyBQ2QRgjPNC1FfmJiP8Ah9gptDGdHtWsf0VbmbvJDcxd47hmBikxj44Oayb1avBqm/5j25bpAovdR0a8N4dRkeJMh+8dtzjHAA8zg5xTaYtTA4Mz9aCPUw4hbRe113e6htj04rbxFm7xtzONwxtz5ZBJxQ7NL5SHHWZy2KxGekpajY65LfyyNZmTRpZi0Yt8NsBHtzmr1vUtfX1TiHazb2kOgaVcssl1ZzFMSv3TXEauzKM46jg9BTBOVyDiHqXBwy5jhpVtG0M1peDazkNLM2COOn3yKRfVIn3bd5peWVxYvOOglfWL/TtOMjWsUUjbcKdn7M/xA9c9f+qIGrUegfXwjSLdZgWEgfXURVPaG7a9YvtLOpRXCjKA9cdAfvXGvzOWnWOtfpWBdQhYFZJPExxjaoA2+R4/2o6jAxM/UK1rZzL2hFxumjdYZICrbvXnjPxVGAPeP1Pn0kZzCdvbyPe3EVkUnWBy3QAYPO74qowy5kNjgHiG9MnvRbFHjt08ZzHMR4245AwRj5NZN4rJ6/oJYUBDnBnVNOyNCtpFmkXbwe6w2ecc5FXSlaNKX3Hr2nmb/wD6WXH6wbrNolxHPc3sKrIo4fILPgcAY6c0g1rOSbDzGNO+GCV8/CcN16S7tdQkdXZZnA3nBBHpyev24r0OlCtWB2j+oyDkSKS2eZnke6XuYwQJJUCFiAMrtBPPP/NMNjtB1WFTziVbc/rVZTx50J+nMfrPPEKaXePaapbyoxUo4YY+1LWpmswgTzFZPfifQtrcLcQxyx8q6hh9xmkx0ngbF2OVPacS1XYlgjr3sEi7lYd0CrEcZzx1+abXaGAxPcU2HUV7h0MS9UwIIDLKslzK24gEHYg4AJ9TWpWgA4mNqLcvtkE0Maqdq/i8z5Vwc5gWAxzKMZKSDJLDOdo+P+aOeRxEujSaO1WWMOQ4Bbjj+9DL7TgQ6Uhxu7S39OLe1efdhgcIM9P+aEX3Ntj60+XWXz0hzsbJdX9xHHHcBSkxyjv0BHUA9eaX1VAPAjnh+pNtbbu0fO03Z61vLKNYn3xxeI7EABz13cjnzpam41thgcCEwblNbjrEf9GjT5ZHhlk7ogqFSTqfXrz50ZtRv4H0Iq3hzVnj2hfRNV1QRCCxiCAY3XO7BUZ5wPPj1pd0rU73MuKWxiMdqILK374TSTyPlNgyQw/t60JtUScVA5Mbp07k7X6StPcd4jNdhooY+RGvHHWgJWA+H6zRUBFzX1PeJGtamsksjnwxbjtXoP8AP88q1KqyTA6m9aUyxgGObv2LyHHGADTezbwJ586k2MWb8prcq8L/AKsNggNnnpiiYzxBeaycw1o1zENLuG8RaVhGyeo4OaVtUqwHabGitW1Nywvban3MpAtY4XkRdrpyVTg/c1RuAcQ1G5m+8h25lWMbZFBV1CFpFwQnHIHr15rPqIyQBCW2twQf+wxp3aCSxtLextUFxGz+HqzOfufSk7qSxO04EVspS5/Nfg/tD91dXF1H3N2Y1Zhho3dlKZ/lSRRkbB5i9VVaHcmfnx/2KmtXNhZW1xZRWqW85Xdmc71kPrn+9P1G5yDn0/CPVoceYTu/acxluZ0LshMZfhwvRhXoQOJj2Nh92MTNhufpwPPNDtGJoaRywyYVskQ3aNKC4B/ZjqQOT/el33FMCN1thjt6zv2nOgt41iGIwoCr6CkRPAuxZiW6zi3aj9JEmEJLDb7Q42P4cE9T8/2p2oeoljkz3CpVTp1rpiNfNvuDmTeo4DAYFaa9JiW5JyZsJXlVbc/iJwD5VGznMoT2M8LbdcuYgxGfCAADjnz8uKJniBKeqMlnpCSm0hnVxCIwWljPCnB8Xx7H3pQuA5OeJpVaclB7wdr08NtAbCIRFlkYMyHPhB4wffrVq0JfdmE1dgrq2d4vQs0TiRWIkzxjyptgCMGYVbMrblPPwjPpXbHUbdVtp7iR4wMAk/57UndpgR6entN3SeKKW23rz7xit9Z0idEEtuqSYO6Ux81mNp7FPB4m2rK4yDkS095Y2Jj3FnDZLCMhfCfwn/ihionqJfatoJUgdIWsO0PZ21RNrzI+ckyRbtvxhqItAD7gSPr5xSzTXnPqBHz/AMiBO1moaddxtJYTpIP3Qr7SOf4Tg+tHqoVSSJZLXpXaw+vnOe6hNvcRdTnJx5Vo1LgZmH4hqAzCsyGQ7MAelWUZ6xNyVPEI284lUGWF5HC4O05yvTkVUqc8Qwu9Pqklk81hfSJJE8dvMc924x8fce1VuGV+ML4fbsu9XQxttYtPlsF3mTviR9PKw8A/05HvnqKzyD0XgnrPQNWxO8dJvqdzcapYyzOyRLY4ibJ5JJxgY+DQ0pKNzFA6oeOczfQr23t9NiWRo/1j7m3qAV5HIOMjp1zRLqW2kiLeaWswe0dtSiSK1jisYklt3UOXkkJdjg+nJP8AxWYD5zFQMYhNPZltzH1fLiLb9oI7K1iljSJplZhISASAR0z+dHqqO7jrD37Nx3niIupdzLKGNm0IkYkyEkDn+w9q1agw4LflMy505bEHtI0KI4Yb34IAOQP8/pRtuespTds5EY+xbWZ1ICUSGRvDtIyvP+Y+9K6nIXEYuZhp3ZDzO0afN5VnzyRnGu1l1cmeezhkLQGVnbZ1kP8AEfP/AKrQ02G5JzPa3vsRQowcfp8Ioz2sis6bD3gJAHrT6sveZFysFyI99n+ydoba3ulu4rm7ZC0kLYKx/b1pTU2MF9Jl6xuPqEqtpYk1Ke5eNRbRkrHGuB3krcKPtjPwKim3NGSesYr0pa4ADpK1xPe6IV78YaWJlEW7ovkfzqqgPlZos4XkROuGaV2IGSxzT6AKJgapjYxxyTJorZPw7izbdxIHT2/nXFuZ1dRUY7yOSFQ52fh8q7dKmkdplZpUTZuyKjapOYQXWom0Gegu5YCceIHqCa5q1aRVrbac85nnv5jnACj25qRSonP4jc444kDTzEcu32NXCKO0VbUWsOWmqNmUb88jqakjjAlKyd+TLE/n+VDSM29DLumX3dWgSNsShseLkH0z/wAVV1bf8JNboK/jJL2aa5YtcFmlUDIyTj86oBgyWu3ADHSXdJuFKtFM7iFuSckbWHnilrlIOR1noNDqQ64JhP8AUpBI8ZlaPOfEuC4/2/3oa8tgxm+pdm9e8P2F1pk/cd9ZzbUlEsrd0FTAwcfPH9Kuzd2mS1DKTgiTdoe1tiL61K3M0SfTkzIoxuOQeODjOMYHlS1NBcEhZUWin0uZzrUtSNxqEk0XhiJ3bVGBn1A9K0q6dij3iV2sax+OkkmuXubUFGLnI49KGqBX5jDsGr4m93bb7aCPvNxUtIxIxsGOQPbp9waYJVVwIDy2PJhXssYf0nCrKQ2cLis7VhinE0rcLpXJ9p1/TZSce9JkTxxnKJlkhv5Nygyov4W5II9vzpyuzYo4+E9o4FoDe8oWtzDa6lHPqFsJov8A9FK5o+5iDtg7KhjEZk12yDyDQ4ba2idVRpJTgZPkAByaUah7OX4lEAQ46ySGXT1ifvXZhBzEyglXlz4j/apJGCp/L/M1FR0X09+vynPtZupJ7tnllaV2PLO2eafpHHMzNa4RsCVNywpuQZdsguepov4uIlkVDd1JhDSGKRzk7H7yM/qyM8+vyKHd2Ah9IoO5mM0lsZLZ2ilwW7sFSrZGSAev3qd3OJxpIGRMWkBk7xe7LLjBbptqHJxkQYUZxKV2sKsViycHBPlRa9xGTFrgvRZXi2klSPEelXbOIsgBODPLEzS7AM/0qd3E5ayWxLMtoxjzH1UdT5460PeA2Iy2mZkyO0hkYsoJHUYqVGIJidstWMEThG2nKHLj2qruRL0Uq5GIUt4oLfvIrszJK6FEfy8uf6UBrCwBHSFFG0kGevrW6RkkaHEe0LuVThsc5qosQ8d4zSTWeOk2tr64eWMhmk2jABPkKo1c2qdRwB2hHWnubqzt2t7h3UnZ9ORtMLemOhHv7mrV44BieqpKkso4ilcLKJSzlmJODuOTTikTBtQhveS2tnLdsACF5xtqeBOVS5hO1t4bS4RCZO8zyEPP/FAsJb8Ij1aCuEmhtZW7qSVlJ6mM7+PIHy9elBZto9R5+EPuAGTwIY7O6Wtvc96z5/hGOaTts3xHW69Wr8qvoe86HpgOFoBmCZyiZnt9cE7zIFaTOHJyfPninQu6rnrPVUWA0IFOeISh0oXEUt3PHItpKoWM43Ddn74HNdUwCYc8xwWBsKOsq3Is47aO2UKkUDtgjq7nqfgVBdyMiGWtCcLAl/qrWoX6TCbeAuMj08/mjUU7jloPXawUJ6YBti01xuk5xTr4VcCYWmZ9RfueHNbtO6ghKxhB3av4eC2Rkn+dK1Od2JqamoFOILiuZI1MaNhM5xxTUzDuIwI46PZ2GqaA1vamManE25zI3Lqecr8Hj780nc6oAx4mvUCF65GP3i8yS2hbeG27v1gHmBx/c0QMGHEDYhU5M2nj0maI/TPJ3rMNqCLBHya77xTkniLla34xK1/YwwW4lhZsk8K/4vfpRFfcYrZQVGRJ4NNuFhtbuS3EFpKCEkPO48jP5g0N7FyVzzGKEJwccScgwEMEBj/dNBPJmoijHIlKeJXXwxkbixJA6c5NMVs2Zl31qCcCGbKx01rWTuiA4IZJCSBjzB9v70rZcwyGEJpasEES3Ppstw9vDLE57o+LAztU88/agK7LuIj9qocS7q00NvoX05YqoY97uzuHoB/Kg0I73botcgUfCIdveNDco0fCK4YZGehzW21eRz1idOrZHC/0wgNReWZzK5IfkBuAD6UuagBxNE6veTuPBkFwid5vUsVbnGOVoiMehiFlYBz2m0F28albYdyvm/Vz9/8AarE/GCFqqOJmFJJSSoyT+Jup/OhMwEE17HpCmlxkyZAy2aUuPEC9hxyY9aLYSthmHB8qVJiTtmOlhamMDiqEwBnLO0NrZSWkPcLPPOBl3UBe79gM885rUOFI2H5xzw/V+VlWPErad2mv4rBrSdpAvCqTHwBz5dfOoatCfjNtMWjchgDU73M5jjDhD/F1b3/OjeUM5h0vNa7B+cD3SsxyxPwaOmBMK+5rXOTLuiWclwk0kUbP3Q3SYH4R6mh6hiJq+FKCCe+YW1YO0ihvF+rVQvp4RSdTe81rlyJUXTJLmxE6nwxjptxim2tUd5k+Wd2BN7C3uI3WSIPGwAYSJ5Dy+PvQreRyMiOUnHEYNJks2uJ4O0fexPcoQky8q2cYzj/MiqgCtdyzmOTslTX9CtbWUNZXCuQqsHjI2sD0PzVK9Rv4Ik/ZgV3DgyXQLC41W5i0m4iCzO5BYj8Axkn4wDVbVNfrUwYZAh3dow6+JEhOiwOhsrDwu6w+Ld1AHsCRQq3LIXaFppHB94pquWdHUMN3ANWZu8fCbRiX9P0SS/0uQx7co/XdjHlUi/baF95k6hQr8z2i6DCh724UFA2Au8gqw5+44qdQbduRGK6UP4YfVpIQ/wBXeoYlXMUboVUk/wBePihCsFcH94QVMh9IgDtVK95oiw70aRp+8fD5J+PLHnTGnKK2cwN+lsdTFmz06CVo0l3BCTuYcYpl7TjK9YqNJgeoSnLZTKxjjBYK2Bx+VXFoI5i7UuOFkqxTxDupAApXcSQeBVcqeRDYdVIeeROfaqkzJPWFdPsJrg4VSFpexwJQ2YjtoGgiIKSvPvSTsSYBrMx70+0SNV8I4oUATC0SAV0icgwMevzWlAyrOiMfGAR6EVXENVY9Z9JxAmpRiWTe/LKNo9hRVYx37XaQQT1gW5TJNMIYMGEuy1yLb66N5VjV1VyCcB9pOB79elC1YZlG2bvg9iKzbpteaiVJmBw/VT60OqrsZqauwKhIMj02e4YOCjsvVnQZwM9TV7KAekRqfGMw7EIElSPS5ZFkIyZCxwxzwCDwfgCiKR0HWQc8lukx9HDcYu2NtFdLIVlglkwrkdeM8ipIYAHEhmViQeZZ0W90eeJ7W8jFu4kO2aIbgoB/CfUD1+KT1G9egmhpHNiDacnpgxkttJV9QW/sbtO+GQs4bxsmOeCOtZ1msVgUYHiQ6KpGRj4SAxmH6y7uAo2jARDnvMkcsc8nPr68YrvPFmFr4HtHABgKP1iVqt6v1pMe0YVWIA4BIyR9ulaKU+kSj2qhx7Qtomqd0zyQSpHHIFHTIOAAfjml9SnI45ELTTVco3cxlih06YF98Ss65WQyBSCeo58qEL7g2F5iz6Vk/Bn+YJl0O1ub6MzK0iB9rI10fEPbHQUc6o7cYwYNtNeASG4+Unl7K6bPcxiyj7sDIZXuG/ME0uviO0YcZlQuoVdzdJNZ9i4YstdXqkEk+HqR6UnZ4qx/9ayz3AjBEg1a0stNC/QxqHQ7i5OTmr6e6yz8cr5qIvPWJmpOO82/tJmGAfNa2aQcfCZus1K7MDrLmi6IZ2DSDr5VFlp7TDZ8dI9aXpKxqPCB8UqzRdmJjPZ2iqo4oRlcwrBHiqyJcQV0mc7l0SziVma7lbb1CqDg88fyNbPkj3keXK02iadtB+vkI3bCVTocZ5+2a4UyfLlC57O6WSc6lLjGfwjpU+TCBcSjcdkdNDMH1GZSDjG0c/5miKkKBKsfZDS3nG3UZyUOSNo5xj+XNE2jELWxVwRCp7I6YUZ/rZY5FGWLKMMvsaBswBN/7UpOSono+z2lw3DOl3LjwgKoHUdf6+dGGMcxHJTIEM9mYLLSLtriG5V5X4KzRqQV4wAfLqPk5qllW8ccQYs42mbTaLpusavcX4kghjljYPahQqkA8sPMEnnINcqkDBhVsC9M5ktn2V0dZAlvP4gTswA23z5/n1payotzmMprGVukJRdn7SCRpI7mfIGAVA2r64x0zSdukV+8c+2WMu0gQVq+lw3Z2/USqMYyFHTy/wC6LTo1QdZH201doqzdirOS6mk+tuR3nltFaS14UCY76om13H9U2j7JQox231wBkYUIox+QqXpVusnT6y2okL0hS27JWwCsb+4Zzzggce9JvSOk2U8RsI5EvW2iQ2qssF1N3jZBlIGcHrjyqh0qzm8Sc8EZksOhIBzez56ZwKA2jTMrb4pYR0Epapof1CrGmpXConTpk0ejRVoSSOsyL9azmUD2YjJONQuWJHJIHWmBp09oudQ02sewtq0oY3kzN15A61LoMYirtmOGm9lIIAu2aQ49hSxoHvAEQ5b6NFGP2jZ+KGdOPeV2S9HpyLjxt+VR9nHvO2Sylmo/fNR9mHvO2SUWq/xmu+zD3k7IpEA9RmtGRI2VefCOfaukyu6J/Av5VwlhK0yqeqg/ariXlcqo5CgH4q4lpheSQeagxugwnaxpuQ7Fzg84oHeOsOJC8afUjwL1Hl71ZZBAxGrT4o+6/Zp+H+EelX7QR7SC/VVs02qBz5Cgv+ERioeuULslYrlVJC7xwOnSoHWEHaBbr8J+9Fr6xbUdDKVHmdMx/tBUN0hK/wAUsN+NviqCNnrJ4/2S/NUPWEHSbH8DfFV7xe2Un5NG7RSZXqK7tIMNab1FAaBaMNv0qhlJcTpVZwkq1EkyVa6cJsKidP/Z">
          <a:extLst>
            <a:ext uri="{FF2B5EF4-FFF2-40B4-BE49-F238E27FC236}">
              <a16:creationId xmlns:a16="http://schemas.microsoft.com/office/drawing/2014/main" id="{C9D78A00-A1EC-43C8-A684-162659DAB7CA}"/>
            </a:ext>
          </a:extLst>
        </xdr:cNvPr>
        <xdr:cNvSpPr>
          <a:spLocks noChangeAspect="1" noChangeArrowheads="1"/>
        </xdr:cNvSpPr>
      </xdr:nvSpPr>
      <xdr:spPr bwMode="auto">
        <a:xfrm>
          <a:off x="11554036" y="2346960"/>
          <a:ext cx="195262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B1%20CB4%20Cassava%20Farm%20Nigeria%20v2%20(6400%20h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B1%20Cassava%20Processor%20Flo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 Data Cassava Farm"/>
      <sheetName val="CB4 Cassava Farm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DAACE-A944-4AB2-B459-AF1483FC0A16}">
  <sheetPr>
    <tabColor rgb="FF00B050"/>
  </sheetPr>
  <dimension ref="A2:N39"/>
  <sheetViews>
    <sheetView tabSelected="1" workbookViewId="0">
      <selection activeCell="O33" sqref="O33"/>
    </sheetView>
  </sheetViews>
  <sheetFormatPr defaultColWidth="9.109375" defaultRowHeight="12" x14ac:dyDescent="0.25"/>
  <cols>
    <col min="1" max="1" width="2.6640625" style="1" customWidth="1"/>
    <col min="2" max="2" width="28.6640625" style="1" customWidth="1"/>
    <col min="3" max="5" width="8.44140625" style="1" customWidth="1"/>
    <col min="6" max="6" width="9.6640625" style="1" bestFit="1" customWidth="1"/>
    <col min="7" max="7" width="8.44140625" style="1" customWidth="1"/>
    <col min="8" max="8" width="9.33203125" style="1" customWidth="1"/>
    <col min="9" max="9" width="30.77734375" style="1" bestFit="1" customWidth="1"/>
    <col min="10" max="10" width="12.44140625" style="2" customWidth="1"/>
    <col min="11" max="11" width="6.5546875" style="1" customWidth="1"/>
    <col min="12" max="12" width="2.88671875" style="1" customWidth="1"/>
    <col min="13" max="13" width="3.5546875" style="1" bestFit="1" customWidth="1"/>
    <col min="14" max="14" width="4.77734375" style="1" bestFit="1" customWidth="1"/>
    <col min="15" max="15" width="9.109375" style="1" customWidth="1"/>
    <col min="16" max="16384" width="9.109375" style="1"/>
  </cols>
  <sheetData>
    <row r="2" spans="2:14" ht="18" x14ac:dyDescent="0.35">
      <c r="B2" s="131" t="s">
        <v>73</v>
      </c>
      <c r="C2" s="129"/>
      <c r="D2" s="129"/>
      <c r="E2" s="129"/>
      <c r="F2" s="129"/>
      <c r="G2" s="129"/>
      <c r="H2" s="130"/>
      <c r="I2" s="129"/>
      <c r="J2" s="256">
        <v>42705</v>
      </c>
      <c r="K2" s="128"/>
      <c r="M2" s="127" t="s">
        <v>72</v>
      </c>
      <c r="N2" s="126">
        <v>1</v>
      </c>
    </row>
    <row r="3" spans="2:14" x14ac:dyDescent="0.25">
      <c r="B3" s="125" t="s">
        <v>71</v>
      </c>
      <c r="C3" s="124"/>
      <c r="D3" s="124"/>
      <c r="E3" s="124"/>
      <c r="F3" s="124"/>
      <c r="G3" s="123"/>
      <c r="H3" s="122"/>
      <c r="I3" s="122"/>
      <c r="J3" s="122"/>
      <c r="K3" s="121"/>
      <c r="M3" s="120" t="s">
        <v>70</v>
      </c>
      <c r="N3" s="119" t="s">
        <v>69</v>
      </c>
    </row>
    <row r="4" spans="2:14" s="110" customFormat="1" x14ac:dyDescent="0.25">
      <c r="B4" s="118" t="s">
        <v>68</v>
      </c>
      <c r="C4" s="117">
        <v>6400</v>
      </c>
      <c r="D4" s="116" t="s">
        <v>67</v>
      </c>
      <c r="E4" s="116" t="s">
        <v>66</v>
      </c>
      <c r="F4" s="116"/>
      <c r="G4" s="115">
        <v>25</v>
      </c>
      <c r="H4" s="114" t="s">
        <v>65</v>
      </c>
      <c r="I4" s="113" t="s">
        <v>64</v>
      </c>
      <c r="J4" s="112">
        <v>1</v>
      </c>
      <c r="K4" s="111"/>
    </row>
    <row r="5" spans="2:14" x14ac:dyDescent="0.25">
      <c r="B5" s="27"/>
      <c r="C5" s="41"/>
      <c r="D5" s="41"/>
      <c r="E5" s="41"/>
      <c r="F5" s="41"/>
      <c r="G5" s="109" t="str">
        <f>IF(N2=1,N3,M3)</f>
        <v>NGN</v>
      </c>
      <c r="H5" s="28"/>
      <c r="I5" s="42"/>
      <c r="J5" s="108" t="str">
        <f>G5</f>
        <v>NGN</v>
      </c>
      <c r="K5" s="107"/>
    </row>
    <row r="6" spans="2:14" x14ac:dyDescent="0.25">
      <c r="B6" s="8" t="s">
        <v>63</v>
      </c>
      <c r="C6" s="84" t="s">
        <v>62</v>
      </c>
      <c r="D6" s="84" t="s">
        <v>61</v>
      </c>
      <c r="E6" s="84" t="s">
        <v>60</v>
      </c>
      <c r="F6" s="84" t="s">
        <v>59</v>
      </c>
      <c r="G6" s="106" t="s">
        <v>58</v>
      </c>
      <c r="H6" s="33"/>
      <c r="I6" s="24"/>
      <c r="J6" s="105" t="s">
        <v>57</v>
      </c>
      <c r="K6" s="104"/>
    </row>
    <row r="7" spans="2:14" x14ac:dyDescent="0.25">
      <c r="B7" s="8" t="s">
        <v>56</v>
      </c>
      <c r="C7" s="103">
        <v>1</v>
      </c>
      <c r="D7" s="103">
        <v>0</v>
      </c>
      <c r="E7" s="103"/>
      <c r="F7" s="103">
        <v>0</v>
      </c>
      <c r="G7" s="102">
        <f>SUM(C7:F7)</f>
        <v>1</v>
      </c>
      <c r="H7" s="101"/>
      <c r="I7" s="24" t="s">
        <v>55</v>
      </c>
      <c r="J7" s="98">
        <f>G8*J33</f>
        <v>1440000000</v>
      </c>
      <c r="K7" s="59"/>
    </row>
    <row r="8" spans="2:14" x14ac:dyDescent="0.25">
      <c r="B8" s="8" t="s">
        <v>54</v>
      </c>
      <c r="C8" s="100">
        <f>9000/ROE</f>
        <v>9000</v>
      </c>
      <c r="D8" s="100">
        <f>9000/ROE</f>
        <v>9000</v>
      </c>
      <c r="E8" s="99"/>
      <c r="F8" s="99">
        <v>0</v>
      </c>
      <c r="G8" s="18">
        <f>(C7*C8+D8*D7+E8*E7+F8*F7)</f>
        <v>9000</v>
      </c>
      <c r="H8" s="33"/>
      <c r="I8" s="24" t="s">
        <v>53</v>
      </c>
      <c r="J8" s="98">
        <f>(G30+G9+G10)*J33+J30</f>
        <v>1143969741.1764705</v>
      </c>
      <c r="K8" s="55">
        <f>J8/J7</f>
        <v>0.794423431372549</v>
      </c>
      <c r="L8" s="20"/>
    </row>
    <row r="9" spans="2:14" x14ac:dyDescent="0.25">
      <c r="B9" s="8" t="s">
        <v>52</v>
      </c>
      <c r="C9" s="94"/>
      <c r="D9" s="94"/>
      <c r="E9" s="94"/>
      <c r="F9" s="94"/>
      <c r="G9" s="97">
        <f>50*28/ROE</f>
        <v>1400</v>
      </c>
      <c r="H9" s="96">
        <f>G9/$G$11</f>
        <v>0.18421052631578946</v>
      </c>
      <c r="I9" s="57" t="s">
        <v>51</v>
      </c>
      <c r="J9" s="95">
        <f>J7-J8</f>
        <v>296030258.82352948</v>
      </c>
      <c r="K9" s="91"/>
      <c r="L9" s="20"/>
    </row>
    <row r="10" spans="2:14" x14ac:dyDescent="0.25">
      <c r="B10" s="8" t="s">
        <v>50</v>
      </c>
      <c r="C10" s="94"/>
      <c r="D10" s="94"/>
      <c r="E10" s="94"/>
      <c r="F10" s="94"/>
      <c r="G10" s="93">
        <v>0</v>
      </c>
      <c r="H10" s="46">
        <f>G10/$G$11</f>
        <v>0</v>
      </c>
      <c r="I10" s="24" t="s">
        <v>49</v>
      </c>
      <c r="J10" s="92">
        <f>J9/J7</f>
        <v>0.20557656862745102</v>
      </c>
      <c r="K10" s="91"/>
      <c r="L10" s="20"/>
    </row>
    <row r="11" spans="2:14" x14ac:dyDescent="0.25">
      <c r="B11" s="50" t="s">
        <v>48</v>
      </c>
      <c r="C11" s="90"/>
      <c r="D11" s="90"/>
      <c r="E11" s="90"/>
      <c r="F11" s="90"/>
      <c r="G11" s="48">
        <f>G8-G9-G10</f>
        <v>7600</v>
      </c>
      <c r="H11" s="89"/>
      <c r="I11" s="88" t="s">
        <v>47</v>
      </c>
      <c r="J11" s="87">
        <f>J9+J15</f>
        <v>296030258.82352948</v>
      </c>
      <c r="K11" s="86"/>
      <c r="L11" s="20"/>
    </row>
    <row r="12" spans="2:14" x14ac:dyDescent="0.25">
      <c r="B12" s="8"/>
      <c r="C12" s="84" t="s">
        <v>46</v>
      </c>
      <c r="D12" s="85" t="s">
        <v>45</v>
      </c>
      <c r="E12" s="84" t="s">
        <v>44</v>
      </c>
      <c r="F12" s="84" t="s">
        <v>43</v>
      </c>
      <c r="G12" s="83" t="s">
        <v>42</v>
      </c>
      <c r="H12" s="33"/>
      <c r="I12" s="42"/>
      <c r="J12" s="41"/>
      <c r="K12" s="40"/>
      <c r="L12" s="20"/>
    </row>
    <row r="13" spans="2:14" x14ac:dyDescent="0.25">
      <c r="B13" s="70" t="s">
        <v>41</v>
      </c>
      <c r="C13" s="73">
        <v>12000</v>
      </c>
      <c r="D13" s="82">
        <f>(500/250)/10/ROE</f>
        <v>0.2</v>
      </c>
      <c r="E13" s="61">
        <f>C13*D13</f>
        <v>2400</v>
      </c>
      <c r="F13" s="61">
        <f>E13*$C$4</f>
        <v>15360000</v>
      </c>
      <c r="G13" s="17">
        <f>E13/$G$4</f>
        <v>96</v>
      </c>
      <c r="H13" s="46">
        <f>G13/$G$30</f>
        <v>2.1427586704917713E-2</v>
      </c>
      <c r="I13" s="24" t="s">
        <v>40</v>
      </c>
      <c r="J13" s="64">
        <v>0</v>
      </c>
      <c r="K13" s="81"/>
      <c r="L13" s="20"/>
    </row>
    <row r="14" spans="2:14" x14ac:dyDescent="0.25">
      <c r="B14" s="70" t="s">
        <v>39</v>
      </c>
      <c r="C14" s="73">
        <v>1</v>
      </c>
      <c r="D14" s="79">
        <f>35000/ROE</f>
        <v>35000</v>
      </c>
      <c r="E14" s="61">
        <f>C14*D14</f>
        <v>35000</v>
      </c>
      <c r="F14" s="61">
        <f>E14*$C$4</f>
        <v>224000000</v>
      </c>
      <c r="G14" s="17">
        <f>E14/$G$4</f>
        <v>1400</v>
      </c>
      <c r="H14" s="46">
        <f>G14/$G$30</f>
        <v>0.31248563944671665</v>
      </c>
      <c r="I14" s="24" t="s">
        <v>38</v>
      </c>
      <c r="J14" s="75">
        <v>6.5000000000000002E-2</v>
      </c>
      <c r="K14" s="80"/>
      <c r="L14" s="20"/>
    </row>
    <row r="15" spans="2:14" x14ac:dyDescent="0.25">
      <c r="B15" s="70" t="s">
        <v>37</v>
      </c>
      <c r="C15" s="73">
        <v>1</v>
      </c>
      <c r="D15" s="79">
        <f>11350/ROE</f>
        <v>11350</v>
      </c>
      <c r="E15" s="61">
        <f>C15*D15</f>
        <v>11350</v>
      </c>
      <c r="F15" s="61">
        <f>E15*$C$4</f>
        <v>72640000</v>
      </c>
      <c r="G15" s="17">
        <f>E15/$G$4</f>
        <v>454</v>
      </c>
      <c r="H15" s="46">
        <f>G15/$G$30</f>
        <v>0.10133462879200668</v>
      </c>
      <c r="I15" s="57" t="s">
        <v>36</v>
      </c>
      <c r="J15" s="37">
        <f>J13*J14</f>
        <v>0</v>
      </c>
      <c r="K15" s="55">
        <f>J15/$J$28</f>
        <v>0</v>
      </c>
      <c r="L15" s="54"/>
    </row>
    <row r="16" spans="2:14" x14ac:dyDescent="0.25">
      <c r="B16" s="70" t="s">
        <v>35</v>
      </c>
      <c r="C16" s="73">
        <v>0</v>
      </c>
      <c r="D16" s="73">
        <v>0</v>
      </c>
      <c r="E16" s="61">
        <f>C16*D16</f>
        <v>0</v>
      </c>
      <c r="F16" s="61">
        <f>E16*$C$4</f>
        <v>0</v>
      </c>
      <c r="G16" s="17">
        <f>E16/$G$4</f>
        <v>0</v>
      </c>
      <c r="H16" s="46">
        <f>G16/$G$30</f>
        <v>0</v>
      </c>
      <c r="I16" s="24"/>
      <c r="J16" s="60"/>
      <c r="K16" s="59"/>
      <c r="L16" s="54"/>
    </row>
    <row r="17" spans="1:12" x14ac:dyDescent="0.25">
      <c r="B17" s="13" t="s">
        <v>34</v>
      </c>
      <c r="C17" s="78"/>
      <c r="D17" s="78"/>
      <c r="E17" s="65">
        <f>SUM(E13:E16)</f>
        <v>48750</v>
      </c>
      <c r="F17" s="65">
        <f>SUM(F13:F16)</f>
        <v>312000000</v>
      </c>
      <c r="G17" s="39">
        <f>SUM(G13:G16)</f>
        <v>1950</v>
      </c>
      <c r="H17" s="58">
        <f>G17/$G$30</f>
        <v>0.43524785494364104</v>
      </c>
      <c r="I17" s="24"/>
      <c r="J17" s="60"/>
      <c r="K17" s="59"/>
      <c r="L17" s="20"/>
    </row>
    <row r="18" spans="1:12" x14ac:dyDescent="0.25">
      <c r="B18" s="8"/>
      <c r="C18" s="77"/>
      <c r="D18" s="77"/>
      <c r="E18" s="61"/>
      <c r="F18" s="61"/>
      <c r="G18" s="17"/>
      <c r="H18" s="46"/>
      <c r="I18" s="24" t="s">
        <v>33</v>
      </c>
      <c r="J18" s="64">
        <f>96350/ROE*C4</f>
        <v>616640000</v>
      </c>
      <c r="K18" s="76"/>
      <c r="L18" s="20"/>
    </row>
    <row r="19" spans="1:12" x14ac:dyDescent="0.25">
      <c r="B19" s="70" t="s">
        <v>32</v>
      </c>
      <c r="C19" s="73">
        <f>33.8235294117647*0.6</f>
        <v>20.294117647058822</v>
      </c>
      <c r="D19" s="73">
        <f>1200/ROE</f>
        <v>1200</v>
      </c>
      <c r="E19" s="61">
        <f>C19*D19</f>
        <v>24352.941176470587</v>
      </c>
      <c r="F19" s="61">
        <f>E19*$C$4</f>
        <v>155858823.52941176</v>
      </c>
      <c r="G19" s="17">
        <f>E19/$G$4</f>
        <v>974.11764705882354</v>
      </c>
      <c r="H19" s="46">
        <f>G19/$G$30</f>
        <v>0.2174269827410768</v>
      </c>
      <c r="I19" s="24" t="s">
        <v>31</v>
      </c>
      <c r="J19" s="75">
        <v>0.12</v>
      </c>
      <c r="K19" s="74"/>
      <c r="L19" s="20"/>
    </row>
    <row r="20" spans="1:12" x14ac:dyDescent="0.25">
      <c r="B20" s="70" t="s">
        <v>30</v>
      </c>
      <c r="C20" s="73">
        <f>29.1176470588235*0.6</f>
        <v>17.470588235294098</v>
      </c>
      <c r="D20" s="73">
        <f>1200/ROE</f>
        <v>1200</v>
      </c>
      <c r="E20" s="61">
        <f>C20*D20</f>
        <v>20964.705882352919</v>
      </c>
      <c r="F20" s="61">
        <f>E20*$C$4</f>
        <v>134174117.64705868</v>
      </c>
      <c r="G20" s="17">
        <f>E20/$G$4</f>
        <v>838.58823529411677</v>
      </c>
      <c r="H20" s="46">
        <f>G20/$G$30</f>
        <v>0.18717627209883983</v>
      </c>
      <c r="I20" s="57" t="s">
        <v>29</v>
      </c>
      <c r="J20" s="37">
        <f>J18*J19</f>
        <v>73996800</v>
      </c>
      <c r="K20" s="55">
        <f>J20/$J$28</f>
        <v>0.36427077713147005</v>
      </c>
      <c r="L20" s="54"/>
    </row>
    <row r="21" spans="1:12" x14ac:dyDescent="0.25">
      <c r="A21" s="71"/>
      <c r="B21" s="70" t="s">
        <v>28</v>
      </c>
      <c r="C21" s="73">
        <v>7</v>
      </c>
      <c r="D21" s="73">
        <f>2000/ROE</f>
        <v>2000</v>
      </c>
      <c r="E21" s="61">
        <f>C21*D21</f>
        <v>14000</v>
      </c>
      <c r="F21" s="61">
        <f>E21*$C$4</f>
        <v>89600000</v>
      </c>
      <c r="G21" s="17">
        <f>E21/$G$4</f>
        <v>560</v>
      </c>
      <c r="H21" s="46">
        <f>G21/$G$30</f>
        <v>0.12499425577868666</v>
      </c>
      <c r="I21" s="24"/>
      <c r="J21" s="60"/>
      <c r="K21" s="59"/>
      <c r="L21" s="20"/>
    </row>
    <row r="22" spans="1:12" x14ac:dyDescent="0.25">
      <c r="A22" s="71"/>
      <c r="B22" s="70" t="s">
        <v>27</v>
      </c>
      <c r="C22" s="69">
        <v>0</v>
      </c>
      <c r="D22" s="68">
        <v>0</v>
      </c>
      <c r="E22" s="61">
        <f>C22*D22</f>
        <v>0</v>
      </c>
      <c r="F22" s="61">
        <f>E22*$C$4</f>
        <v>0</v>
      </c>
      <c r="G22" s="17">
        <f>E22/$G$4</f>
        <v>0</v>
      </c>
      <c r="H22" s="46">
        <f>G22/$G$30</f>
        <v>0</v>
      </c>
      <c r="I22" s="24" t="s">
        <v>26</v>
      </c>
      <c r="J22" s="72">
        <v>3.8</v>
      </c>
      <c r="K22" s="55"/>
      <c r="L22" s="20"/>
    </row>
    <row r="23" spans="1:12" x14ac:dyDescent="0.25">
      <c r="A23" s="71"/>
      <c r="B23" s="70" t="s">
        <v>25</v>
      </c>
      <c r="C23" s="69">
        <v>0</v>
      </c>
      <c r="D23" s="68">
        <v>0</v>
      </c>
      <c r="E23" s="61">
        <f>C23*D23</f>
        <v>0</v>
      </c>
      <c r="F23" s="61">
        <f>E23*$C$4</f>
        <v>0</v>
      </c>
      <c r="G23" s="17">
        <f>E23/$G$4</f>
        <v>0</v>
      </c>
      <c r="H23" s="46">
        <f>G23/$G$30</f>
        <v>0</v>
      </c>
      <c r="I23" s="24" t="s">
        <v>24</v>
      </c>
      <c r="J23" s="64">
        <f>J22*25000/ROE*12</f>
        <v>1140000</v>
      </c>
      <c r="K23" s="55">
        <f>J23/$J$28</f>
        <v>5.611981679341212E-3</v>
      </c>
      <c r="L23" s="20"/>
    </row>
    <row r="24" spans="1:12" x14ac:dyDescent="0.25">
      <c r="B24" s="13" t="s">
        <v>23</v>
      </c>
      <c r="C24" s="67"/>
      <c r="D24" s="67"/>
      <c r="E24" s="66">
        <f>SUM(E19:E23)</f>
        <v>59317.64705882351</v>
      </c>
      <c r="F24" s="65">
        <f>SUM(F19:F23)</f>
        <v>379632941.17647046</v>
      </c>
      <c r="G24" s="39">
        <f>SUM(G19:G23)</f>
        <v>2372.7058823529405</v>
      </c>
      <c r="H24" s="58">
        <f>G24/$G$30</f>
        <v>0.52959751061860338</v>
      </c>
      <c r="I24" s="24" t="s">
        <v>22</v>
      </c>
      <c r="J24" s="64">
        <f>10000*C4/ROE</f>
        <v>64000000</v>
      </c>
      <c r="K24" s="55">
        <f>J24/$J$28</f>
        <v>0.31505862059459439</v>
      </c>
      <c r="L24" s="20"/>
    </row>
    <row r="25" spans="1:12" x14ac:dyDescent="0.25">
      <c r="B25" s="8"/>
      <c r="C25" s="60"/>
      <c r="D25" s="60"/>
      <c r="E25" s="60"/>
      <c r="F25" s="61"/>
      <c r="G25" s="17"/>
      <c r="H25" s="46"/>
      <c r="I25" s="24" t="s">
        <v>21</v>
      </c>
      <c r="J25" s="64">
        <f>10000*C4/ROE</f>
        <v>64000000</v>
      </c>
      <c r="K25" s="55">
        <f>J25/$J$28</f>
        <v>0.31505862059459439</v>
      </c>
      <c r="L25" s="20"/>
    </row>
    <row r="26" spans="1:12" x14ac:dyDescent="0.25">
      <c r="B26" s="8" t="s">
        <v>20</v>
      </c>
      <c r="C26" s="63">
        <f>1000/100</f>
        <v>10</v>
      </c>
      <c r="D26" s="62">
        <f>15*1.05/ROE</f>
        <v>15.75</v>
      </c>
      <c r="E26" s="61"/>
      <c r="F26" s="61">
        <f>G26*G4*C4</f>
        <v>25200000</v>
      </c>
      <c r="G26" s="17">
        <f>C26*D26</f>
        <v>157.5</v>
      </c>
      <c r="H26" s="46">
        <f>G26/$G$30</f>
        <v>3.5154634437755621E-2</v>
      </c>
      <c r="I26" s="57" t="s">
        <v>19</v>
      </c>
      <c r="J26" s="56">
        <f>SUM(J23:J25)</f>
        <v>129140000</v>
      </c>
      <c r="K26" s="55">
        <f>J26/$J$28</f>
        <v>0.63572922286852995</v>
      </c>
      <c r="L26" s="54"/>
    </row>
    <row r="27" spans="1:12" x14ac:dyDescent="0.25">
      <c r="B27" s="8" t="s">
        <v>18</v>
      </c>
      <c r="C27" s="63">
        <v>0</v>
      </c>
      <c r="D27" s="62">
        <v>0</v>
      </c>
      <c r="E27" s="61"/>
      <c r="F27" s="61">
        <f>G27*G4*C4</f>
        <v>0</v>
      </c>
      <c r="G27" s="17">
        <f>C27*D27</f>
        <v>0</v>
      </c>
      <c r="H27" s="46">
        <f>G27/$G$30</f>
        <v>0</v>
      </c>
      <c r="I27" s="24"/>
      <c r="J27" s="60"/>
      <c r="K27" s="59"/>
      <c r="L27" s="20"/>
    </row>
    <row r="28" spans="1:12" x14ac:dyDescent="0.25">
      <c r="B28" s="13" t="s">
        <v>17</v>
      </c>
      <c r="C28" s="12"/>
      <c r="D28" s="12"/>
      <c r="E28" s="11"/>
      <c r="F28" s="11">
        <f>SUM(F26:F27)</f>
        <v>25200000</v>
      </c>
      <c r="G28" s="39">
        <f>SUM(G26:G27)</f>
        <v>157.5</v>
      </c>
      <c r="H28" s="58">
        <f>G28/$G$30</f>
        <v>3.5154634437755621E-2</v>
      </c>
      <c r="I28" s="57" t="s">
        <v>16</v>
      </c>
      <c r="J28" s="56">
        <f>J15+J20+J26</f>
        <v>203136800</v>
      </c>
      <c r="K28" s="55">
        <f>J28/$J$28</f>
        <v>1</v>
      </c>
      <c r="L28" s="54"/>
    </row>
    <row r="29" spans="1:12" x14ac:dyDescent="0.25">
      <c r="B29" s="8"/>
      <c r="C29" s="19"/>
      <c r="D29" s="19"/>
      <c r="E29" s="19"/>
      <c r="F29" s="53"/>
      <c r="G29" s="17"/>
      <c r="H29" s="46"/>
      <c r="I29" s="24" t="s">
        <v>15</v>
      </c>
      <c r="J29" s="52">
        <v>1</v>
      </c>
      <c r="K29" s="51"/>
      <c r="L29" s="20"/>
    </row>
    <row r="30" spans="1:12" x14ac:dyDescent="0.25">
      <c r="B30" s="50" t="s">
        <v>14</v>
      </c>
      <c r="C30" s="49"/>
      <c r="D30" s="49"/>
      <c r="E30" s="48"/>
      <c r="F30" s="48">
        <f>F17+F24+F28</f>
        <v>716832941.17647052</v>
      </c>
      <c r="G30" s="47">
        <f>G17+G24+G28</f>
        <v>4480.2058823529405</v>
      </c>
      <c r="H30" s="46">
        <f>G30/$G$30</f>
        <v>1</v>
      </c>
      <c r="I30" s="45" t="s">
        <v>13</v>
      </c>
      <c r="J30" s="44">
        <f>J28*J29</f>
        <v>203136800</v>
      </c>
      <c r="K30" s="43"/>
      <c r="L30" s="20"/>
    </row>
    <row r="31" spans="1:12" x14ac:dyDescent="0.25">
      <c r="B31" s="27"/>
      <c r="C31" s="19"/>
      <c r="D31" s="19"/>
      <c r="E31" s="19"/>
      <c r="F31" s="35"/>
      <c r="G31" s="17"/>
      <c r="H31" s="28"/>
      <c r="I31" s="42"/>
      <c r="J31" s="41"/>
      <c r="K31" s="40"/>
    </row>
    <row r="32" spans="1:12" x14ac:dyDescent="0.25">
      <c r="B32" s="13" t="s">
        <v>12</v>
      </c>
      <c r="C32" s="12"/>
      <c r="D32" s="12"/>
      <c r="E32" s="11"/>
      <c r="F32" s="11"/>
      <c r="G32" s="39">
        <f>G11-G30</f>
        <v>3119.7941176470595</v>
      </c>
      <c r="H32" s="33"/>
      <c r="I32" s="38" t="s">
        <v>11</v>
      </c>
      <c r="J32" s="37">
        <f>J33*G32</f>
        <v>499167058.82352954</v>
      </c>
      <c r="K32" s="36"/>
      <c r="L32" s="20"/>
    </row>
    <row r="33" spans="2:12" x14ac:dyDescent="0.25">
      <c r="B33" s="8" t="s">
        <v>10</v>
      </c>
      <c r="C33" s="19"/>
      <c r="D33" s="19"/>
      <c r="E33" s="19"/>
      <c r="F33" s="35"/>
      <c r="G33" s="34">
        <f>G32/G8</f>
        <v>0.34664379084967328</v>
      </c>
      <c r="H33" s="33"/>
      <c r="I33" s="24" t="s">
        <v>9</v>
      </c>
      <c r="J33" s="32">
        <f>C4*G4*J4</f>
        <v>160000</v>
      </c>
      <c r="K33" s="31" t="s">
        <v>8</v>
      </c>
      <c r="L33" s="20"/>
    </row>
    <row r="34" spans="2:12" x14ac:dyDescent="0.25">
      <c r="B34" s="27"/>
      <c r="C34" s="30"/>
      <c r="D34" s="30"/>
      <c r="E34" s="29"/>
      <c r="F34" s="29"/>
      <c r="G34" s="29" t="s">
        <v>7</v>
      </c>
      <c r="H34" s="28"/>
      <c r="I34" s="27"/>
      <c r="J34" s="26"/>
      <c r="K34" s="25"/>
      <c r="L34" s="20"/>
    </row>
    <row r="35" spans="2:12" x14ac:dyDescent="0.25">
      <c r="B35" s="8" t="s">
        <v>6</v>
      </c>
      <c r="C35" s="19"/>
      <c r="D35" s="19"/>
      <c r="E35" s="18"/>
      <c r="F35" s="18"/>
      <c r="G35" s="17">
        <f>G30+G9+G10</f>
        <v>5880.2058823529405</v>
      </c>
      <c r="H35" s="16">
        <f>G35/$G$37</f>
        <v>0.82242817035432081</v>
      </c>
      <c r="I35" s="24" t="s">
        <v>5</v>
      </c>
      <c r="J35" s="22">
        <f>J30/G32</f>
        <v>65112.245340473055</v>
      </c>
      <c r="K35" s="21"/>
      <c r="L35" s="20"/>
    </row>
    <row r="36" spans="2:12" x14ac:dyDescent="0.25">
      <c r="B36" s="8" t="s">
        <v>4</v>
      </c>
      <c r="C36" s="19"/>
      <c r="D36" s="19"/>
      <c r="E36" s="18"/>
      <c r="F36" s="18"/>
      <c r="G36" s="17">
        <f>J30/J33</f>
        <v>1269.605</v>
      </c>
      <c r="H36" s="23">
        <f>G36/$G$37</f>
        <v>0.17757182964567927</v>
      </c>
      <c r="I36" s="8" t="s">
        <v>3</v>
      </c>
      <c r="J36" s="22">
        <f>J35/C4</f>
        <v>10.173788334448915</v>
      </c>
      <c r="K36" s="21"/>
      <c r="L36" s="20"/>
    </row>
    <row r="37" spans="2:12" x14ac:dyDescent="0.25">
      <c r="B37" s="8" t="s">
        <v>2</v>
      </c>
      <c r="C37" s="19"/>
      <c r="D37" s="19"/>
      <c r="E37" s="18"/>
      <c r="F37" s="18"/>
      <c r="G37" s="17">
        <f>G35+G36</f>
        <v>7149.8108823529401</v>
      </c>
      <c r="H37" s="16">
        <f>G37/$G$37</f>
        <v>1</v>
      </c>
      <c r="I37" s="13"/>
      <c r="J37" s="15"/>
      <c r="K37" s="14"/>
    </row>
    <row r="38" spans="2:12" x14ac:dyDescent="0.25">
      <c r="B38" s="13" t="s">
        <v>1</v>
      </c>
      <c r="C38" s="12"/>
      <c r="D38" s="12"/>
      <c r="E38" s="11"/>
      <c r="F38" s="11"/>
      <c r="G38" s="10">
        <f>G8-G37</f>
        <v>1850.1891176470599</v>
      </c>
      <c r="H38" s="9">
        <f>G38/G8</f>
        <v>0.20557656862745111</v>
      </c>
      <c r="I38" s="8"/>
      <c r="J38" s="7"/>
      <c r="K38" s="6"/>
    </row>
    <row r="39" spans="2:12" ht="13.2" x14ac:dyDescent="0.25">
      <c r="B39" s="5" t="s">
        <v>0</v>
      </c>
      <c r="C39" s="4"/>
      <c r="D39" s="4"/>
      <c r="E39" s="4"/>
      <c r="F39" s="4"/>
      <c r="G39" s="4"/>
      <c r="H39" s="4"/>
      <c r="I39" s="4"/>
      <c r="J39" s="4"/>
      <c r="K39" s="3"/>
    </row>
  </sheetData>
  <conditionalFormatting sqref="G33">
    <cfRule type="cellIs" dxfId="19" priority="7" stopIfTrue="1" operator="greaterThanOrEqual">
      <formula>0.6</formula>
    </cfRule>
    <cfRule type="cellIs" dxfId="18" priority="8" stopIfTrue="1" operator="between">
      <formula>0.3</formula>
      <formula>0.5999999999</formula>
    </cfRule>
    <cfRule type="cellIs" dxfId="17" priority="9" operator="lessThan">
      <formula>0.3</formula>
    </cfRule>
  </conditionalFormatting>
  <conditionalFormatting sqref="J10">
    <cfRule type="cellIs" dxfId="16" priority="4" stopIfTrue="1" operator="greaterThanOrEqual">
      <formula>0.15</formula>
    </cfRule>
    <cfRule type="cellIs" dxfId="15" priority="5" stopIfTrue="1" operator="between">
      <formula>0</formula>
      <formula>0.15</formula>
    </cfRule>
    <cfRule type="cellIs" dxfId="14" priority="6" operator="lessThan">
      <formula>0</formula>
    </cfRule>
  </conditionalFormatting>
  <conditionalFormatting sqref="H36">
    <cfRule type="cellIs" dxfId="13" priority="1" operator="greaterThanOrEqual">
      <formula>0.25</formula>
    </cfRule>
    <cfRule type="cellIs" dxfId="12" priority="2" operator="between">
      <formula>0.15</formula>
      <formula>0.25</formula>
    </cfRule>
    <cfRule type="cellIs" dxfId="11" priority="3" operator="lessThan">
      <formula>0.15</formula>
    </cfRule>
  </conditionalFormatting>
  <pageMargins left="0.75" right="0.75" top="1" bottom="1" header="0.5" footer="0.5"/>
  <pageSetup paperSize="9" orientation="portrait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1EB76-2BBF-434A-9841-2CF85075A9B7}">
  <sheetPr>
    <tabColor rgb="FF92D050"/>
  </sheetPr>
  <dimension ref="B2:O40"/>
  <sheetViews>
    <sheetView zoomScale="90" zoomScaleNormal="90" workbookViewId="0">
      <pane ySplit="3" topLeftCell="A4" activePane="bottomLeft" state="frozen"/>
      <selection activeCell="G5" sqref="G5"/>
      <selection pane="bottomLeft" activeCell="J5" sqref="J5"/>
    </sheetView>
  </sheetViews>
  <sheetFormatPr defaultColWidth="9.109375" defaultRowHeight="13.2" x14ac:dyDescent="0.25"/>
  <cols>
    <col min="1" max="1" width="3.6640625" style="132" customWidth="1"/>
    <col min="2" max="2" width="42" style="132" customWidth="1"/>
    <col min="3" max="3" width="11.33203125" style="132" customWidth="1"/>
    <col min="4" max="4" width="6.88671875" style="132" customWidth="1"/>
    <col min="5" max="5" width="38" style="132" bestFit="1" customWidth="1"/>
    <col min="6" max="6" width="13.33203125" style="132" customWidth="1"/>
    <col min="7" max="7" width="7.5546875" style="132" bestFit="1" customWidth="1"/>
    <col min="8" max="8" width="3.44140625" style="132" customWidth="1"/>
    <col min="9" max="10" width="5.5546875" style="1" customWidth="1"/>
    <col min="11" max="11" width="19.88671875" style="132" bestFit="1" customWidth="1"/>
    <col min="12" max="12" width="13.21875" style="132" customWidth="1"/>
    <col min="13" max="13" width="20.33203125" style="132" customWidth="1"/>
    <col min="14" max="14" width="16.33203125" style="132" customWidth="1"/>
    <col min="15" max="15" width="5.5546875" style="132" customWidth="1"/>
    <col min="16" max="16384" width="9.109375" style="132"/>
  </cols>
  <sheetData>
    <row r="2" spans="2:15" ht="17.399999999999999" x14ac:dyDescent="0.3">
      <c r="B2" s="220" t="s">
        <v>138</v>
      </c>
      <c r="C2" s="218"/>
      <c r="D2" s="218"/>
      <c r="E2" s="218"/>
      <c r="F2" s="219">
        <f>'CB1 Cassava farm'!J2</f>
        <v>42705</v>
      </c>
      <c r="G2" s="218"/>
    </row>
    <row r="3" spans="2:15" x14ac:dyDescent="0.25">
      <c r="B3" s="217" t="s">
        <v>137</v>
      </c>
      <c r="C3" s="216"/>
      <c r="D3" s="213"/>
      <c r="E3" s="215"/>
      <c r="F3" s="214"/>
      <c r="G3" s="213"/>
      <c r="L3" s="144"/>
      <c r="M3" s="144"/>
    </row>
    <row r="4" spans="2:15" ht="14.25" customHeight="1" x14ac:dyDescent="0.25">
      <c r="B4" s="167"/>
      <c r="C4" s="212" t="str">
        <f>IF(ROE=1,'CB1 Cassava farm'!N3,'CB1 Cassava farm'!M3)</f>
        <v>NGN</v>
      </c>
      <c r="D4" s="166"/>
      <c r="E4" s="167"/>
      <c r="F4" s="212" t="str">
        <f>C4</f>
        <v>NGN</v>
      </c>
      <c r="G4" s="168"/>
      <c r="L4" s="144"/>
      <c r="M4" s="144"/>
    </row>
    <row r="5" spans="2:15" x14ac:dyDescent="0.25">
      <c r="B5" s="141"/>
      <c r="C5" s="211" t="s">
        <v>58</v>
      </c>
      <c r="D5" s="209"/>
      <c r="E5" s="210"/>
      <c r="F5" s="209" t="s">
        <v>57</v>
      </c>
      <c r="G5" s="208"/>
      <c r="L5" s="144"/>
      <c r="M5" s="144"/>
    </row>
    <row r="6" spans="2:15" x14ac:dyDescent="0.25">
      <c r="B6" s="141" t="s">
        <v>136</v>
      </c>
      <c r="C6" s="302">
        <f>75000/ROE</f>
        <v>75000</v>
      </c>
      <c r="D6" s="205">
        <f>C6/$C$6</f>
        <v>1</v>
      </c>
      <c r="E6" s="141" t="s">
        <v>135</v>
      </c>
      <c r="F6" s="147">
        <f>C6*F29</f>
        <v>2910000000</v>
      </c>
      <c r="G6" s="145"/>
      <c r="L6" s="144"/>
      <c r="M6" s="144"/>
    </row>
    <row r="7" spans="2:15" x14ac:dyDescent="0.25">
      <c r="B7" s="141" t="s">
        <v>134</v>
      </c>
      <c r="C7" s="207">
        <v>0</v>
      </c>
      <c r="D7" s="205">
        <f>C7/$C$6</f>
        <v>0</v>
      </c>
      <c r="E7" s="141" t="s">
        <v>53</v>
      </c>
      <c r="F7" s="202">
        <f>(C7+C8+C27)*F29+F27</f>
        <v>2143212497.3950028</v>
      </c>
      <c r="G7" s="145"/>
      <c r="L7" s="144"/>
      <c r="M7" s="144"/>
    </row>
    <row r="8" spans="2:15" x14ac:dyDescent="0.25">
      <c r="B8" s="141" t="s">
        <v>133</v>
      </c>
      <c r="C8" s="182">
        <f>2000/ROE</f>
        <v>2000</v>
      </c>
      <c r="D8" s="205">
        <f>C8/$C$6</f>
        <v>2.6666666666666668E-2</v>
      </c>
      <c r="E8" s="143" t="s">
        <v>51</v>
      </c>
      <c r="F8" s="142">
        <f>F6-F7</f>
        <v>766787502.60499716</v>
      </c>
      <c r="G8" s="145"/>
      <c r="H8" s="206"/>
      <c r="K8" s="144"/>
      <c r="L8" s="144"/>
      <c r="M8" s="144"/>
    </row>
    <row r="9" spans="2:15" x14ac:dyDescent="0.25">
      <c r="B9" s="143" t="s">
        <v>132</v>
      </c>
      <c r="C9" s="149">
        <f>C6-C7-C8</f>
        <v>73000</v>
      </c>
      <c r="D9" s="205">
        <f>C9/$C$6</f>
        <v>0.97333333333333338</v>
      </c>
      <c r="E9" s="138" t="s">
        <v>131</v>
      </c>
      <c r="F9" s="204">
        <f>F8/F6</f>
        <v>0.26350086000171724</v>
      </c>
      <c r="G9" s="133"/>
      <c r="K9" s="144"/>
      <c r="L9" s="144"/>
      <c r="M9" s="144"/>
    </row>
    <row r="10" spans="2:15" x14ac:dyDescent="0.25">
      <c r="B10" s="167"/>
      <c r="C10" s="169"/>
      <c r="D10" s="166"/>
      <c r="E10" s="141"/>
      <c r="F10" s="166"/>
      <c r="G10" s="168"/>
      <c r="K10" s="171" t="s">
        <v>130</v>
      </c>
      <c r="L10" s="203" t="s">
        <v>129</v>
      </c>
      <c r="M10" s="203" t="s">
        <v>128</v>
      </c>
      <c r="N10" s="203" t="s">
        <v>127</v>
      </c>
      <c r="O10" s="203" t="s">
        <v>126</v>
      </c>
    </row>
    <row r="11" spans="2:15" x14ac:dyDescent="0.25">
      <c r="B11" s="141" t="s">
        <v>125</v>
      </c>
      <c r="C11" s="255">
        <f>'CB1 Cassava farm'!G8/ROE</f>
        <v>9000</v>
      </c>
      <c r="D11" s="202"/>
      <c r="E11" s="141" t="s">
        <v>124</v>
      </c>
      <c r="F11" s="255">
        <f>N16/ROE</f>
        <v>900000000</v>
      </c>
      <c r="G11" s="145"/>
      <c r="K11" s="155" t="s">
        <v>123</v>
      </c>
      <c r="L11" s="200">
        <v>10000</v>
      </c>
      <c r="M11" s="199">
        <f>2000000/160</f>
        <v>12500</v>
      </c>
      <c r="N11" s="198">
        <f>L11*M11</f>
        <v>125000000</v>
      </c>
      <c r="O11" s="193">
        <f>N11/N$16</f>
        <v>0.1388888888888889</v>
      </c>
    </row>
    <row r="12" spans="2:15" x14ac:dyDescent="0.25">
      <c r="B12" s="141" t="s">
        <v>122</v>
      </c>
      <c r="C12" s="303">
        <f>'PR Flour'!D9</f>
        <v>4.347569259849962</v>
      </c>
      <c r="D12" s="201"/>
      <c r="E12" s="141" t="s">
        <v>38</v>
      </c>
      <c r="F12" s="192">
        <v>6.5000000000000002E-2</v>
      </c>
      <c r="G12" s="145"/>
      <c r="K12" s="155" t="s">
        <v>121</v>
      </c>
      <c r="L12" s="200">
        <v>7000</v>
      </c>
      <c r="M12" s="199">
        <v>24000</v>
      </c>
      <c r="N12" s="198">
        <f>L12*M12</f>
        <v>168000000</v>
      </c>
      <c r="O12" s="193">
        <f>N12/N$16</f>
        <v>0.18666666666666668</v>
      </c>
    </row>
    <row r="13" spans="2:15" x14ac:dyDescent="0.25">
      <c r="B13" s="141" t="s">
        <v>120</v>
      </c>
      <c r="C13" s="147">
        <f>C11*C12</f>
        <v>39128.123338649661</v>
      </c>
      <c r="D13" s="178">
        <f>C13/$C$27</f>
        <v>0.84534808223771274</v>
      </c>
      <c r="E13" s="143" t="s">
        <v>36</v>
      </c>
      <c r="F13" s="186">
        <f>F11*F12</f>
        <v>58500000</v>
      </c>
      <c r="G13" s="139">
        <f>F13/$F$24</f>
        <v>0.21690767519466073</v>
      </c>
      <c r="K13" s="155" t="s">
        <v>119</v>
      </c>
      <c r="L13" s="197" t="s">
        <v>118</v>
      </c>
      <c r="M13" s="163"/>
      <c r="N13" s="194">
        <f>1400000*300</f>
        <v>420000000</v>
      </c>
      <c r="O13" s="193">
        <f>N13/N$16</f>
        <v>0.46666666666666667</v>
      </c>
    </row>
    <row r="14" spans="2:15" x14ac:dyDescent="0.25">
      <c r="B14" s="141" t="s">
        <v>117</v>
      </c>
      <c r="C14" s="196">
        <f>0*ROE</f>
        <v>0</v>
      </c>
      <c r="D14" s="178">
        <f>C14/$C$27</f>
        <v>0</v>
      </c>
      <c r="E14" s="141"/>
      <c r="F14" s="157"/>
      <c r="G14" s="139"/>
      <c r="K14" s="155" t="s">
        <v>116</v>
      </c>
      <c r="L14" s="163"/>
      <c r="M14" s="163"/>
      <c r="N14" s="194">
        <f>250000*300</f>
        <v>75000000</v>
      </c>
      <c r="O14" s="193">
        <f>N14/N$16</f>
        <v>8.3333333333333329E-2</v>
      </c>
    </row>
    <row r="15" spans="2:15" x14ac:dyDescent="0.25">
      <c r="B15" s="143" t="s">
        <v>34</v>
      </c>
      <c r="C15" s="149">
        <f>C13+C14</f>
        <v>39128.123338649661</v>
      </c>
      <c r="D15" s="178">
        <f>C15/$C$27</f>
        <v>0.84534808223771274</v>
      </c>
      <c r="E15" s="141" t="s">
        <v>115</v>
      </c>
      <c r="F15" s="195">
        <f>40%*F11</f>
        <v>360000000</v>
      </c>
      <c r="G15" s="139"/>
      <c r="K15" s="155" t="s">
        <v>114</v>
      </c>
      <c r="L15" s="163"/>
      <c r="M15" s="163"/>
      <c r="N15" s="194">
        <v>112000000</v>
      </c>
      <c r="O15" s="193">
        <f>N15/N$16</f>
        <v>0.12444444444444444</v>
      </c>
    </row>
    <row r="16" spans="2:15" x14ac:dyDescent="0.25">
      <c r="B16" s="141"/>
      <c r="C16" s="147"/>
      <c r="D16" s="157"/>
      <c r="E16" s="141" t="s">
        <v>31</v>
      </c>
      <c r="F16" s="192">
        <v>9.5000000000000001E-2</v>
      </c>
      <c r="G16" s="145"/>
      <c r="K16" s="191" t="s">
        <v>113</v>
      </c>
      <c r="L16" s="190"/>
      <c r="M16" s="190"/>
      <c r="N16" s="189">
        <f>SUM(N11:N15)</f>
        <v>900000000</v>
      </c>
      <c r="O16" s="188">
        <f>N16/N$16</f>
        <v>1</v>
      </c>
    </row>
    <row r="17" spans="2:14" x14ac:dyDescent="0.25">
      <c r="B17" s="141" t="s">
        <v>112</v>
      </c>
      <c r="C17" s="185">
        <f>((300+300)/10/110*1000)/ROE</f>
        <v>545.45454545454538</v>
      </c>
      <c r="D17" s="187"/>
      <c r="E17" s="143" t="s">
        <v>29</v>
      </c>
      <c r="F17" s="186">
        <f>F15*F16</f>
        <v>34200000</v>
      </c>
      <c r="G17" s="139">
        <f>F17/$F$24</f>
        <v>0.12680756395995552</v>
      </c>
      <c r="K17" s="144"/>
      <c r="L17" s="144"/>
      <c r="M17" s="144"/>
    </row>
    <row r="18" spans="2:14" x14ac:dyDescent="0.25">
      <c r="B18" s="141" t="s">
        <v>111</v>
      </c>
      <c r="C18" s="185">
        <f>(2000/((10*110*2)/4.13)*1000)/ROE</f>
        <v>3754.5454545454545</v>
      </c>
      <c r="D18" s="157"/>
      <c r="E18" s="141"/>
      <c r="F18" s="157"/>
      <c r="G18" s="145"/>
      <c r="K18" s="144"/>
      <c r="L18" s="144"/>
      <c r="M18" s="144"/>
    </row>
    <row r="19" spans="2:14" x14ac:dyDescent="0.25">
      <c r="B19" s="143" t="s">
        <v>23</v>
      </c>
      <c r="C19" s="149">
        <f>C17+C18</f>
        <v>4300</v>
      </c>
      <c r="D19" s="178">
        <f>C19/$C$27</f>
        <v>9.2899849097327319E-2</v>
      </c>
      <c r="E19" s="141" t="s">
        <v>110</v>
      </c>
      <c r="F19" s="183">
        <v>150</v>
      </c>
      <c r="G19" s="139"/>
      <c r="K19" s="171" t="s">
        <v>109</v>
      </c>
      <c r="L19" s="171" t="s">
        <v>108</v>
      </c>
      <c r="M19" s="184" t="s">
        <v>107</v>
      </c>
      <c r="N19" s="184" t="s">
        <v>106</v>
      </c>
    </row>
    <row r="20" spans="2:14" x14ac:dyDescent="0.25">
      <c r="B20" s="143"/>
      <c r="C20" s="149"/>
      <c r="D20" s="178"/>
      <c r="E20" s="141" t="s">
        <v>105</v>
      </c>
      <c r="F20" s="183">
        <f>F19*(40000*12)/ROE</f>
        <v>72000000</v>
      </c>
      <c r="G20" s="139">
        <f>F20/$F$24</f>
        <v>0.26696329254727474</v>
      </c>
      <c r="K20" s="155" t="s">
        <v>104</v>
      </c>
      <c r="L20" s="155" t="s">
        <v>101</v>
      </c>
      <c r="M20" s="181">
        <f>1/8</f>
        <v>0.125</v>
      </c>
      <c r="N20" s="180">
        <f>M20*$C$12</f>
        <v>0.54344615748124525</v>
      </c>
    </row>
    <row r="21" spans="2:14" x14ac:dyDescent="0.25">
      <c r="B21" s="141"/>
      <c r="C21" s="147"/>
      <c r="D21" s="157"/>
      <c r="E21" s="141" t="s">
        <v>103</v>
      </c>
      <c r="F21" s="183">
        <f>350000*300/ROE</f>
        <v>105000000</v>
      </c>
      <c r="G21" s="139">
        <f>F21/$F$24</f>
        <v>0.38932146829810899</v>
      </c>
      <c r="K21" s="155" t="s">
        <v>102</v>
      </c>
      <c r="L21" s="155" t="s">
        <v>101</v>
      </c>
      <c r="M21" s="181">
        <f>3/8</f>
        <v>0.375</v>
      </c>
      <c r="N21" s="180">
        <f>M21*$C$12</f>
        <v>1.6303384724437358</v>
      </c>
    </row>
    <row r="22" spans="2:14" x14ac:dyDescent="0.25">
      <c r="B22" s="141" t="s">
        <v>100</v>
      </c>
      <c r="C22" s="182">
        <f>0.4*300/ROE</f>
        <v>120</v>
      </c>
      <c r="D22" s="157"/>
      <c r="E22" s="143" t="s">
        <v>19</v>
      </c>
      <c r="F22" s="149">
        <f>SUM(F20:F21)</f>
        <v>177000000</v>
      </c>
      <c r="G22" s="139">
        <f>F22/$F$24</f>
        <v>0.65628476084538379</v>
      </c>
      <c r="K22" s="155" t="s">
        <v>99</v>
      </c>
      <c r="L22" s="155" t="s">
        <v>98</v>
      </c>
      <c r="M22" s="181">
        <f>20/8</f>
        <v>2.5</v>
      </c>
      <c r="N22" s="180">
        <f>M22*$C$12</f>
        <v>10.868923149624905</v>
      </c>
    </row>
    <row r="23" spans="2:14" x14ac:dyDescent="0.25">
      <c r="B23" s="141" t="s">
        <v>97</v>
      </c>
      <c r="C23" s="182">
        <f>1000/50</f>
        <v>20</v>
      </c>
      <c r="D23" s="157"/>
      <c r="E23" s="141"/>
      <c r="F23" s="157"/>
      <c r="G23" s="145"/>
      <c r="K23" s="155" t="s">
        <v>96</v>
      </c>
      <c r="L23" s="155" t="s">
        <v>95</v>
      </c>
      <c r="M23" s="181"/>
      <c r="N23" s="180">
        <f>M23*$C$12</f>
        <v>0</v>
      </c>
    </row>
    <row r="24" spans="2:14" x14ac:dyDescent="0.25">
      <c r="B24" s="143" t="s">
        <v>17</v>
      </c>
      <c r="C24" s="179">
        <f>C22*C23</f>
        <v>2400</v>
      </c>
      <c r="D24" s="178">
        <f>C24/$C$27</f>
        <v>5.1851078565950129E-2</v>
      </c>
      <c r="E24" s="143" t="s">
        <v>16</v>
      </c>
      <c r="F24" s="149">
        <f>F13+F17+F22</f>
        <v>269700000</v>
      </c>
      <c r="G24" s="139">
        <f>F24/$F$24</f>
        <v>1</v>
      </c>
      <c r="K24" s="155"/>
      <c r="L24" s="155"/>
      <c r="M24" s="163"/>
      <c r="N24" s="155"/>
    </row>
    <row r="25" spans="2:14" x14ac:dyDescent="0.25">
      <c r="B25" s="141"/>
      <c r="C25" s="147"/>
      <c r="D25" s="157"/>
      <c r="E25" s="141"/>
      <c r="F25" s="157"/>
      <c r="G25" s="145"/>
      <c r="K25" s="144"/>
      <c r="L25" s="144"/>
      <c r="M25" s="144"/>
    </row>
    <row r="26" spans="2:14" x14ac:dyDescent="0.25">
      <c r="B26" s="141" t="s">
        <v>94</v>
      </c>
      <c r="C26" s="147">
        <f>(C15+C19+C24)*D26</f>
        <v>458.28123338649664</v>
      </c>
      <c r="D26" s="177">
        <v>0.01</v>
      </c>
      <c r="E26" s="141" t="s">
        <v>15</v>
      </c>
      <c r="F26" s="176">
        <v>1</v>
      </c>
      <c r="G26" s="145"/>
      <c r="K26" s="144"/>
      <c r="L26" s="144"/>
      <c r="M26" s="144"/>
    </row>
    <row r="27" spans="2:14" x14ac:dyDescent="0.25">
      <c r="B27" s="137" t="s">
        <v>14</v>
      </c>
      <c r="C27" s="175">
        <f>(C15+C19+C24+C26)</f>
        <v>46286.404572036154</v>
      </c>
      <c r="D27" s="174">
        <f>C27/$C$27</f>
        <v>1</v>
      </c>
      <c r="E27" s="143" t="s">
        <v>13</v>
      </c>
      <c r="F27" s="173">
        <f>F24*F26</f>
        <v>269700000</v>
      </c>
      <c r="G27" s="172"/>
      <c r="K27" s="171" t="s">
        <v>93</v>
      </c>
      <c r="L27" s="171"/>
      <c r="M27" s="171"/>
      <c r="N27" s="170"/>
    </row>
    <row r="28" spans="2:14" x14ac:dyDescent="0.25">
      <c r="B28" s="167"/>
      <c r="C28" s="169"/>
      <c r="D28" s="168"/>
      <c r="E28" s="167"/>
      <c r="F28" s="166"/>
      <c r="G28" s="165"/>
      <c r="K28" s="155" t="s">
        <v>92</v>
      </c>
      <c r="L28" s="154">
        <f>M28*50/1000</f>
        <v>1250</v>
      </c>
      <c r="M28" s="164">
        <v>25000</v>
      </c>
      <c r="N28" s="155"/>
    </row>
    <row r="29" spans="2:14" x14ac:dyDescent="0.25">
      <c r="B29" s="143" t="s">
        <v>12</v>
      </c>
      <c r="C29" s="142">
        <f>C9-C27</f>
        <v>26713.595427963846</v>
      </c>
      <c r="D29" s="145"/>
      <c r="E29" s="141" t="s">
        <v>91</v>
      </c>
      <c r="F29" s="146">
        <v>38800</v>
      </c>
      <c r="G29" s="139"/>
      <c r="K29" s="155" t="s">
        <v>90</v>
      </c>
      <c r="L29" s="154">
        <f>L28*360</f>
        <v>450000</v>
      </c>
      <c r="M29" s="163"/>
      <c r="N29" s="155"/>
    </row>
    <row r="30" spans="2:14" x14ac:dyDescent="0.25">
      <c r="B30" s="141" t="s">
        <v>89</v>
      </c>
      <c r="C30" s="162">
        <f>C29/C9</f>
        <v>0.36593966339676504</v>
      </c>
      <c r="D30" s="145"/>
      <c r="E30" s="143" t="s">
        <v>11</v>
      </c>
      <c r="F30" s="142">
        <f>C29*F29</f>
        <v>1036487502.6049973</v>
      </c>
      <c r="G30" s="139"/>
      <c r="K30" s="155" t="s">
        <v>88</v>
      </c>
      <c r="L30" s="154">
        <f>$L$29*6%</f>
        <v>27000</v>
      </c>
      <c r="M30" s="153">
        <f>L30/360</f>
        <v>75</v>
      </c>
      <c r="N30" s="152">
        <f>M30/23</f>
        <v>3.2608695652173911</v>
      </c>
    </row>
    <row r="31" spans="2:14" x14ac:dyDescent="0.25">
      <c r="B31" s="141"/>
      <c r="C31" s="161"/>
      <c r="D31" s="145"/>
      <c r="E31" s="143"/>
      <c r="F31" s="155"/>
      <c r="G31" s="139"/>
      <c r="K31" s="160" t="s">
        <v>87</v>
      </c>
      <c r="L31" s="159">
        <f>$L$29*9%</f>
        <v>40500</v>
      </c>
      <c r="M31" s="153">
        <f>L31/360</f>
        <v>112.5</v>
      </c>
      <c r="N31" s="152">
        <f>M31/23</f>
        <v>4.8913043478260869</v>
      </c>
    </row>
    <row r="32" spans="2:14" x14ac:dyDescent="0.25">
      <c r="B32" s="143" t="s">
        <v>14</v>
      </c>
      <c r="C32" s="149">
        <f>C27</f>
        <v>46286.404572036154</v>
      </c>
      <c r="D32" s="139">
        <f>C32/C36</f>
        <v>0.86943340034003191</v>
      </c>
      <c r="E32" s="143" t="s">
        <v>86</v>
      </c>
      <c r="F32" s="142">
        <f>F27/C29</f>
        <v>10095.982801239757</v>
      </c>
      <c r="G32" s="139"/>
      <c r="K32" s="155" t="s">
        <v>85</v>
      </c>
      <c r="L32" s="154">
        <f>$L$29*12%</f>
        <v>54000</v>
      </c>
      <c r="M32" s="153">
        <f>L32/360</f>
        <v>150</v>
      </c>
      <c r="N32" s="152">
        <f>M32/23</f>
        <v>6.5217391304347823</v>
      </c>
    </row>
    <row r="33" spans="2:14" x14ac:dyDescent="0.25">
      <c r="B33" s="158"/>
      <c r="C33" s="157"/>
      <c r="D33" s="156"/>
      <c r="E33" s="141" t="s">
        <v>84</v>
      </c>
      <c r="F33" s="142">
        <f>F32*C12</f>
        <v>43892.984474643876</v>
      </c>
      <c r="G33" s="139"/>
      <c r="K33" s="155" t="s">
        <v>83</v>
      </c>
      <c r="L33" s="154">
        <f>$L$29*15%</f>
        <v>67500</v>
      </c>
      <c r="M33" s="153">
        <f>L33/360</f>
        <v>187.5</v>
      </c>
      <c r="N33" s="152">
        <f>M33/23</f>
        <v>8.1521739130434785</v>
      </c>
    </row>
    <row r="34" spans="2:14" x14ac:dyDescent="0.25">
      <c r="B34" s="143" t="s">
        <v>82</v>
      </c>
      <c r="C34" s="149">
        <f>F27/F29</f>
        <v>6951.0309278350514</v>
      </c>
      <c r="D34" s="139">
        <f>C34/$C$36</f>
        <v>0.13056659965996797</v>
      </c>
      <c r="E34" s="141" t="s">
        <v>81</v>
      </c>
      <c r="F34" s="142">
        <f>F29*C12</f>
        <v>168685.68728217852</v>
      </c>
      <c r="G34" s="151">
        <f>F34/25</f>
        <v>6747.4274912871406</v>
      </c>
      <c r="M34" s="144"/>
    </row>
    <row r="35" spans="2:14" x14ac:dyDescent="0.25">
      <c r="B35" s="141"/>
      <c r="C35" s="147"/>
      <c r="D35" s="145"/>
      <c r="E35" s="141" t="s">
        <v>80</v>
      </c>
      <c r="F35" s="150">
        <f>M22*2</f>
        <v>5</v>
      </c>
      <c r="G35" s="145"/>
      <c r="L35" s="144"/>
      <c r="M35" s="144"/>
    </row>
    <row r="36" spans="2:14" x14ac:dyDescent="0.25">
      <c r="B36" s="143" t="s">
        <v>79</v>
      </c>
      <c r="C36" s="149">
        <f>C27+C34</f>
        <v>53237.435499871208</v>
      </c>
      <c r="D36" s="139">
        <f>C36/$C$36</f>
        <v>1</v>
      </c>
      <c r="E36" s="141" t="s">
        <v>78</v>
      </c>
      <c r="F36" s="148">
        <v>22</v>
      </c>
      <c r="G36" s="139"/>
      <c r="K36" s="144"/>
      <c r="L36" s="144"/>
      <c r="M36" s="144"/>
    </row>
    <row r="37" spans="2:14" x14ac:dyDescent="0.25">
      <c r="B37" s="141"/>
      <c r="C37" s="147"/>
      <c r="D37" s="145"/>
      <c r="E37" s="141" t="s">
        <v>77</v>
      </c>
      <c r="F37" s="146">
        <v>360</v>
      </c>
      <c r="G37" s="145"/>
      <c r="K37" s="144"/>
      <c r="L37" s="144"/>
      <c r="M37" s="144"/>
    </row>
    <row r="38" spans="2:14" x14ac:dyDescent="0.25">
      <c r="B38" s="143" t="s">
        <v>1</v>
      </c>
      <c r="C38" s="142">
        <f>C9-C36</f>
        <v>19762.564500128792</v>
      </c>
      <c r="D38" s="139"/>
      <c r="E38" s="141" t="s">
        <v>76</v>
      </c>
      <c r="F38" s="140">
        <f>F35*F36*F37</f>
        <v>39600</v>
      </c>
      <c r="G38" s="139"/>
    </row>
    <row r="39" spans="2:14" x14ac:dyDescent="0.25">
      <c r="B39" s="138"/>
      <c r="C39" s="134"/>
      <c r="D39" s="133"/>
      <c r="E39" s="137" t="s">
        <v>75</v>
      </c>
      <c r="F39" s="136">
        <f>F29/F38</f>
        <v>0.97979797979797978</v>
      </c>
      <c r="G39" s="133"/>
    </row>
    <row r="40" spans="2:14" x14ac:dyDescent="0.25">
      <c r="B40" s="135" t="s">
        <v>74</v>
      </c>
      <c r="C40" s="134"/>
      <c r="D40" s="134"/>
      <c r="E40" s="134"/>
      <c r="F40" s="134"/>
      <c r="G40" s="133"/>
    </row>
  </sheetData>
  <sheetProtection formatCells="0" formatColumns="0" formatRows="0" insertColumns="0" insertRows="0"/>
  <conditionalFormatting sqref="C30">
    <cfRule type="cellIs" dxfId="10" priority="9" stopIfTrue="1" operator="between">
      <formula>0.2</formula>
      <formula>0</formula>
    </cfRule>
    <cfRule type="cellIs" dxfId="9" priority="10" stopIfTrue="1" operator="between">
      <formula>0.2</formula>
      <formula>0.3</formula>
    </cfRule>
    <cfRule type="cellIs" dxfId="8" priority="11" stopIfTrue="1" operator="greaterThanOrEqual">
      <formula>0.3</formula>
    </cfRule>
  </conditionalFormatting>
  <conditionalFormatting sqref="C30">
    <cfRule type="cellIs" dxfId="7" priority="8" stopIfTrue="1" operator="lessThan">
      <formula>0</formula>
    </cfRule>
  </conditionalFormatting>
  <conditionalFormatting sqref="F39">
    <cfRule type="cellIs" dxfId="6" priority="5" operator="greaterThanOrEqual">
      <formula>0.75</formula>
    </cfRule>
    <cfRule type="cellIs" dxfId="5" priority="6" operator="between">
      <formula>0.49999999999999</formula>
      <formula>0.75</formula>
    </cfRule>
    <cfRule type="cellIs" dxfId="4" priority="7" operator="lessThan">
      <formula>0.5</formula>
    </cfRule>
  </conditionalFormatting>
  <conditionalFormatting sqref="F9">
    <cfRule type="cellIs" dxfId="3" priority="2" stopIfTrue="1" operator="between">
      <formula>0</formula>
      <formula>0.05</formula>
    </cfRule>
    <cfRule type="cellIs" dxfId="2" priority="3" stopIfTrue="1" operator="between">
      <formula>0.05</formula>
      <formula>0.1</formula>
    </cfRule>
    <cfRule type="cellIs" dxfId="1" priority="4" stopIfTrue="1" operator="greaterThanOrEqual">
      <formula>0.1</formula>
    </cfRule>
  </conditionalFormatting>
  <conditionalFormatting sqref="F9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portrait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05ED0-551A-41AB-9254-91942DBBFED5}">
  <sheetPr>
    <tabColor rgb="FF92D050"/>
  </sheetPr>
  <dimension ref="B2:J16"/>
  <sheetViews>
    <sheetView zoomScale="130" zoomScaleNormal="130" workbookViewId="0">
      <selection activeCell="C28" sqref="C28"/>
    </sheetView>
  </sheetViews>
  <sheetFormatPr defaultColWidth="9.109375" defaultRowHeight="13.2" x14ac:dyDescent="0.25"/>
  <cols>
    <col min="1" max="1" width="2.5546875" style="221" customWidth="1"/>
    <col min="2" max="2" width="17" style="221" customWidth="1"/>
    <col min="3" max="3" width="7.33203125" style="221" customWidth="1"/>
    <col min="4" max="4" width="9.44140625" style="221" customWidth="1"/>
    <col min="5" max="5" width="9.6640625" style="221" customWidth="1"/>
    <col min="6" max="6" width="8" style="221" customWidth="1"/>
    <col min="7" max="8" width="7" style="221" customWidth="1"/>
    <col min="9" max="9" width="7.5546875" style="221" customWidth="1"/>
    <col min="10" max="10" width="12.88671875" style="221" customWidth="1"/>
    <col min="11" max="16384" width="9.109375" style="221"/>
  </cols>
  <sheetData>
    <row r="2" spans="2:10" x14ac:dyDescent="0.25">
      <c r="B2" s="254" t="s">
        <v>155</v>
      </c>
      <c r="C2" s="253"/>
      <c r="D2" s="253"/>
      <c r="E2" s="252" t="s">
        <v>154</v>
      </c>
      <c r="F2" s="252" t="s">
        <v>153</v>
      </c>
      <c r="G2" s="252" t="s">
        <v>145</v>
      </c>
      <c r="H2" s="252" t="s">
        <v>152</v>
      </c>
      <c r="I2" s="252" t="s">
        <v>145</v>
      </c>
      <c r="J2" s="251" t="s">
        <v>151</v>
      </c>
    </row>
    <row r="3" spans="2:10" x14ac:dyDescent="0.25">
      <c r="B3" s="246" t="s">
        <v>150</v>
      </c>
      <c r="C3" s="245"/>
      <c r="D3" s="250">
        <v>1000</v>
      </c>
      <c r="E3" s="245" t="s">
        <v>145</v>
      </c>
      <c r="F3" s="249">
        <v>0.25</v>
      </c>
      <c r="G3" s="243">
        <f>D3*F3</f>
        <v>250</v>
      </c>
      <c r="H3" s="244">
        <f>1-F3</f>
        <v>0.75</v>
      </c>
      <c r="I3" s="243">
        <f>D3*H3</f>
        <v>750</v>
      </c>
      <c r="J3" s="248"/>
    </row>
    <row r="4" spans="2:10" x14ac:dyDescent="0.25">
      <c r="B4" s="246" t="s">
        <v>149</v>
      </c>
      <c r="C4" s="247">
        <v>-0.1</v>
      </c>
      <c r="D4" s="241">
        <f>D3*(1+C4)</f>
        <v>900</v>
      </c>
      <c r="E4" s="245" t="s">
        <v>145</v>
      </c>
      <c r="F4" s="244">
        <f>F3</f>
        <v>0.25</v>
      </c>
      <c r="G4" s="243">
        <f>D4*F4</f>
        <v>225</v>
      </c>
      <c r="H4" s="244">
        <f>1-F4</f>
        <v>0.75</v>
      </c>
      <c r="I4" s="243">
        <f>D4*H4</f>
        <v>675</v>
      </c>
      <c r="J4" s="240">
        <f>I4-I3</f>
        <v>-75</v>
      </c>
    </row>
    <row r="5" spans="2:10" x14ac:dyDescent="0.25">
      <c r="B5" s="246" t="s">
        <v>148</v>
      </c>
      <c r="C5" s="247">
        <v>-0.05</v>
      </c>
      <c r="D5" s="241">
        <f>D4*(1+C5)</f>
        <v>855</v>
      </c>
      <c r="E5" s="245" t="s">
        <v>145</v>
      </c>
      <c r="F5" s="244">
        <f>F4</f>
        <v>0.25</v>
      </c>
      <c r="G5" s="241">
        <f>D5*F5</f>
        <v>213.75</v>
      </c>
      <c r="H5" s="244">
        <f>1-F5</f>
        <v>0.75</v>
      </c>
      <c r="I5" s="241">
        <f>D5*H5</f>
        <v>641.25</v>
      </c>
      <c r="J5" s="240">
        <f>I5-I4</f>
        <v>-33.75</v>
      </c>
    </row>
    <row r="6" spans="2:10" x14ac:dyDescent="0.25">
      <c r="B6" s="246" t="s">
        <v>147</v>
      </c>
      <c r="C6" s="245"/>
      <c r="D6" s="241">
        <f>G6/F6</f>
        <v>534.375</v>
      </c>
      <c r="E6" s="245" t="s">
        <v>145</v>
      </c>
      <c r="F6" s="244">
        <f>1-H6</f>
        <v>0.4</v>
      </c>
      <c r="G6" s="241">
        <f>G5</f>
        <v>213.75</v>
      </c>
      <c r="H6" s="242">
        <v>0.6</v>
      </c>
      <c r="I6" s="241">
        <f>D6*H6</f>
        <v>320.625</v>
      </c>
      <c r="J6" s="240">
        <f>I6-I5</f>
        <v>-320.625</v>
      </c>
    </row>
    <row r="7" spans="2:10" x14ac:dyDescent="0.25">
      <c r="B7" s="246" t="s">
        <v>146</v>
      </c>
      <c r="C7" s="245"/>
      <c r="D7" s="241">
        <f>G7/F7</f>
        <v>232.33695652173913</v>
      </c>
      <c r="E7" s="245" t="s">
        <v>145</v>
      </c>
      <c r="F7" s="244">
        <f>1-H7</f>
        <v>0.92</v>
      </c>
      <c r="G7" s="241">
        <f>G6</f>
        <v>213.75</v>
      </c>
      <c r="H7" s="247">
        <v>0.08</v>
      </c>
      <c r="I7" s="241">
        <f>D7*H7</f>
        <v>18.586956521739129</v>
      </c>
      <c r="J7" s="240">
        <f>I7-I6</f>
        <v>-302.03804347826087</v>
      </c>
    </row>
    <row r="8" spans="2:10" x14ac:dyDescent="0.25">
      <c r="B8" s="246" t="s">
        <v>144</v>
      </c>
      <c r="C8" s="242">
        <v>-0.01</v>
      </c>
      <c r="D8" s="241">
        <f>D7*(1+C8)</f>
        <v>230.01358695652172</v>
      </c>
      <c r="E8" s="245"/>
      <c r="F8" s="244"/>
      <c r="G8" s="243"/>
      <c r="H8" s="242"/>
      <c r="I8" s="241"/>
      <c r="J8" s="240"/>
    </row>
    <row r="9" spans="2:10" x14ac:dyDescent="0.25">
      <c r="B9" s="239" t="s">
        <v>143</v>
      </c>
      <c r="C9" s="237"/>
      <c r="D9" s="238">
        <f>D3/D8</f>
        <v>4.347569259849962</v>
      </c>
      <c r="E9" s="237"/>
      <c r="F9" s="237"/>
      <c r="G9" s="237"/>
      <c r="H9" s="237"/>
      <c r="I9" s="237"/>
      <c r="J9" s="236"/>
    </row>
    <row r="11" spans="2:10" x14ac:dyDescent="0.25">
      <c r="B11" s="235" t="s">
        <v>142</v>
      </c>
      <c r="C11" s="234" t="s">
        <v>141</v>
      </c>
      <c r="D11" s="234" t="s">
        <v>140</v>
      </c>
      <c r="E11" s="234" t="s">
        <v>34</v>
      </c>
      <c r="F11" s="233" t="s">
        <v>139</v>
      </c>
      <c r="G11" s="232"/>
    </row>
    <row r="12" spans="2:10" x14ac:dyDescent="0.25">
      <c r="B12" s="229">
        <v>0.24</v>
      </c>
      <c r="C12" s="228">
        <v>4.4400000000000004</v>
      </c>
      <c r="D12" s="227">
        <f>$D$14</f>
        <v>9000</v>
      </c>
      <c r="E12" s="227">
        <f>C12*D12</f>
        <v>39960</v>
      </c>
      <c r="F12" s="227">
        <f>D12*$E$14/E12</f>
        <v>11006.756756756757</v>
      </c>
      <c r="G12" s="226"/>
    </row>
    <row r="13" spans="2:10" x14ac:dyDescent="0.25">
      <c r="B13" s="229">
        <v>0.22</v>
      </c>
      <c r="C13" s="228">
        <v>4.84</v>
      </c>
      <c r="D13" s="227">
        <f>$D$14</f>
        <v>9000</v>
      </c>
      <c r="E13" s="227">
        <f>C13*D13</f>
        <v>43560</v>
      </c>
      <c r="F13" s="227">
        <f>D13*$E$14/E13</f>
        <v>10097.107438016528</v>
      </c>
      <c r="G13" s="226"/>
    </row>
    <row r="14" spans="2:10" x14ac:dyDescent="0.25">
      <c r="B14" s="229">
        <v>0.2</v>
      </c>
      <c r="C14" s="228">
        <v>5.43</v>
      </c>
      <c r="D14" s="231">
        <v>9000</v>
      </c>
      <c r="E14" s="227">
        <f>C14*D14</f>
        <v>48870</v>
      </c>
      <c r="F14" s="227">
        <f>D14*$E$14/E14</f>
        <v>9000</v>
      </c>
      <c r="G14" s="226"/>
      <c r="H14" s="230"/>
    </row>
    <row r="15" spans="2:10" x14ac:dyDescent="0.25">
      <c r="B15" s="229">
        <v>0.18</v>
      </c>
      <c r="C15" s="228">
        <v>5.92</v>
      </c>
      <c r="D15" s="227">
        <f>$D$14</f>
        <v>9000</v>
      </c>
      <c r="E15" s="227">
        <f>C15*D15</f>
        <v>53280</v>
      </c>
      <c r="F15" s="227">
        <f>D15*$E$14/E15</f>
        <v>8255.0675675675684</v>
      </c>
      <c r="G15" s="226"/>
    </row>
    <row r="16" spans="2:10" x14ac:dyDescent="0.25">
      <c r="B16" s="225">
        <v>0.16</v>
      </c>
      <c r="C16" s="224">
        <v>6.66</v>
      </c>
      <c r="D16" s="223">
        <f>$D$14</f>
        <v>9000</v>
      </c>
      <c r="E16" s="223">
        <f>C16*D16</f>
        <v>59940</v>
      </c>
      <c r="F16" s="223">
        <f>D16*$E$14/E16</f>
        <v>7337.8378378378375</v>
      </c>
      <c r="G16" s="22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1684-08AA-41C5-B9EF-779A57E7064A}">
  <sheetPr>
    <tabColor rgb="FF7030A0"/>
  </sheetPr>
  <dimension ref="B2:Q31"/>
  <sheetViews>
    <sheetView zoomScaleNormal="100" workbookViewId="0">
      <pane ySplit="2" topLeftCell="A3" activePane="bottomLeft" state="frozen"/>
      <selection pane="bottomLeft" activeCell="U28" sqref="U28"/>
    </sheetView>
  </sheetViews>
  <sheetFormatPr defaultRowHeight="14.4" outlineLevelRow="1" x14ac:dyDescent="0.3"/>
  <cols>
    <col min="1" max="1" width="3.44140625" style="257" customWidth="1"/>
    <col min="2" max="2" width="18.5546875" style="257" customWidth="1"/>
    <col min="3" max="3" width="8.44140625" style="257" customWidth="1"/>
    <col min="4" max="4" width="10.33203125" style="257" customWidth="1"/>
    <col min="5" max="5" width="13.33203125" style="257" customWidth="1"/>
    <col min="6" max="6" width="10.109375" style="257" customWidth="1"/>
    <col min="7" max="7" width="12.77734375" style="257" customWidth="1"/>
    <col min="8" max="8" width="13.33203125" style="257" customWidth="1"/>
    <col min="9" max="9" width="2.5546875" style="257" customWidth="1"/>
    <col min="10" max="10" width="14.44140625" style="257" hidden="1" customWidth="1"/>
    <col min="11" max="12" width="12.21875" style="257" hidden="1" customWidth="1"/>
    <col min="13" max="15" width="0" style="257" hidden="1" customWidth="1"/>
    <col min="16" max="16" width="11.33203125" style="257" hidden="1" customWidth="1"/>
    <col min="17" max="17" width="0" style="257" hidden="1" customWidth="1"/>
    <col min="18" max="18" width="3.44140625" style="257" customWidth="1"/>
    <col min="19" max="16384" width="8.88671875" style="257"/>
  </cols>
  <sheetData>
    <row r="2" spans="2:17" ht="18" x14ac:dyDescent="0.35">
      <c r="B2" s="295" t="s">
        <v>166</v>
      </c>
      <c r="C2" s="294"/>
      <c r="D2" s="294"/>
      <c r="E2" s="294"/>
      <c r="F2" s="294"/>
      <c r="G2" s="296">
        <f>'CB1 Cassava farm'!J2</f>
        <v>42705</v>
      </c>
      <c r="H2" s="292">
        <v>360</v>
      </c>
      <c r="K2" s="295" t="s">
        <v>165</v>
      </c>
      <c r="L2" s="294"/>
      <c r="M2" s="294"/>
      <c r="N2" s="294"/>
      <c r="O2" s="294"/>
      <c r="P2" s="293"/>
      <c r="Q2" s="292">
        <v>360</v>
      </c>
    </row>
    <row r="3" spans="2:17" x14ac:dyDescent="0.3">
      <c r="B3" s="272"/>
      <c r="C3" s="270" t="s">
        <v>164</v>
      </c>
      <c r="D3" s="271" t="s">
        <v>162</v>
      </c>
      <c r="E3" s="270" t="s">
        <v>167</v>
      </c>
      <c r="F3" s="270" t="s">
        <v>160</v>
      </c>
      <c r="G3" s="270" t="s">
        <v>168</v>
      </c>
      <c r="H3" s="270" t="s">
        <v>158</v>
      </c>
      <c r="K3" s="272"/>
      <c r="L3" s="272" t="s">
        <v>164</v>
      </c>
      <c r="M3" s="271" t="s">
        <v>162</v>
      </c>
      <c r="N3" s="270" t="s">
        <v>161</v>
      </c>
      <c r="O3" s="270" t="s">
        <v>160</v>
      </c>
      <c r="P3" s="270" t="s">
        <v>159</v>
      </c>
      <c r="Q3" s="270" t="s">
        <v>158</v>
      </c>
    </row>
    <row r="4" spans="2:17" ht="15" x14ac:dyDescent="0.35">
      <c r="B4" s="262" t="s">
        <v>157</v>
      </c>
      <c r="C4" s="291">
        <f>D4/ROE</f>
        <v>0.66666666666666663</v>
      </c>
      <c r="D4" s="269">
        <f>12000/50</f>
        <v>240</v>
      </c>
      <c r="E4" s="269">
        <v>5000</v>
      </c>
      <c r="F4" s="268">
        <f>E4/E7</f>
        <v>1</v>
      </c>
      <c r="G4" s="263">
        <f>D4*E4</f>
        <v>1200000</v>
      </c>
      <c r="H4" s="262"/>
      <c r="K4" s="262" t="s">
        <v>157</v>
      </c>
      <c r="L4" s="290">
        <v>0.3</v>
      </c>
      <c r="M4" s="266">
        <f>L4*ROE_2</f>
        <v>108</v>
      </c>
      <c r="N4" s="269">
        <v>5000</v>
      </c>
      <c r="O4" s="268">
        <f>N4/N7</f>
        <v>1</v>
      </c>
      <c r="P4" s="263">
        <f>M4*N4</f>
        <v>540000</v>
      </c>
      <c r="Q4" s="262"/>
    </row>
    <row r="5" spans="2:17" ht="15" x14ac:dyDescent="0.35">
      <c r="B5" s="262" t="s">
        <v>156</v>
      </c>
      <c r="C5" s="291">
        <f>D5/ROE</f>
        <v>0.20833333333333334</v>
      </c>
      <c r="D5" s="297">
        <f>'CB1 Cassava Flour'!C6/1000</f>
        <v>75</v>
      </c>
      <c r="E5" s="266">
        <f>5000-E4</f>
        <v>0</v>
      </c>
      <c r="F5" s="298">
        <f>E5/E7</f>
        <v>0</v>
      </c>
      <c r="G5" s="263">
        <f>D5*E5</f>
        <v>0</v>
      </c>
      <c r="H5" s="262"/>
      <c r="K5" s="262" t="s">
        <v>156</v>
      </c>
      <c r="L5" s="291">
        <f>M5/ROE_2</f>
        <v>0.19999999999999993</v>
      </c>
      <c r="M5" s="269">
        <v>71.999999999999972</v>
      </c>
      <c r="N5" s="266">
        <f>5000-N4</f>
        <v>0</v>
      </c>
      <c r="O5" s="268">
        <f>N5/N7</f>
        <v>0</v>
      </c>
      <c r="P5" s="263">
        <f>M5*N5</f>
        <v>0</v>
      </c>
      <c r="Q5" s="262"/>
    </row>
    <row r="6" spans="2:17" ht="15" x14ac:dyDescent="0.35">
      <c r="B6" s="262" t="s">
        <v>169</v>
      </c>
      <c r="C6" s="291">
        <f>D6/ROE</f>
        <v>40</v>
      </c>
      <c r="D6" s="269">
        <f>40*ROE</f>
        <v>14400</v>
      </c>
      <c r="E6" s="269">
        <v>0</v>
      </c>
      <c r="F6" s="268">
        <f>E6/E7</f>
        <v>0</v>
      </c>
      <c r="G6" s="263">
        <f>D6*E6</f>
        <v>0</v>
      </c>
      <c r="H6" s="262"/>
      <c r="K6" s="262" t="s">
        <v>117</v>
      </c>
      <c r="L6" s="290">
        <v>40</v>
      </c>
      <c r="M6" s="266">
        <f>L6*ROE_2</f>
        <v>14400</v>
      </c>
      <c r="N6" s="269">
        <v>0</v>
      </c>
      <c r="O6" s="268">
        <f>N6/N7</f>
        <v>0</v>
      </c>
      <c r="P6" s="263">
        <f>M6*N6</f>
        <v>0</v>
      </c>
      <c r="Q6" s="262"/>
    </row>
    <row r="7" spans="2:17" ht="15" x14ac:dyDescent="0.35">
      <c r="B7" s="289" t="s">
        <v>113</v>
      </c>
      <c r="C7" s="289"/>
      <c r="D7" s="289"/>
      <c r="E7" s="287">
        <f>SUM(E4:E6)</f>
        <v>5000</v>
      </c>
      <c r="F7" s="288">
        <f>SUM(F4:F6)</f>
        <v>1</v>
      </c>
      <c r="G7" s="287">
        <f>SUM(G4:G6)</f>
        <v>1200000</v>
      </c>
      <c r="H7" s="286">
        <f>1-G7/$G$7</f>
        <v>0</v>
      </c>
      <c r="K7" s="289" t="s">
        <v>113</v>
      </c>
      <c r="L7" s="289"/>
      <c r="M7" s="289"/>
      <c r="N7" s="287">
        <f>SUM(N4:N6)</f>
        <v>5000</v>
      </c>
      <c r="O7" s="288">
        <f>SUM(O4:O6)</f>
        <v>1</v>
      </c>
      <c r="P7" s="287">
        <f>SUM(P4:P6)</f>
        <v>540000</v>
      </c>
      <c r="Q7" s="286">
        <f>1-P7/$P$7</f>
        <v>0</v>
      </c>
    </row>
    <row r="9" spans="2:17" outlineLevel="1" x14ac:dyDescent="0.3">
      <c r="B9" s="272"/>
      <c r="C9" s="272"/>
      <c r="D9" s="271" t="s">
        <v>162</v>
      </c>
      <c r="E9" s="270" t="s">
        <v>161</v>
      </c>
      <c r="F9" s="270" t="s">
        <v>160</v>
      </c>
      <c r="G9" s="270" t="s">
        <v>159</v>
      </c>
      <c r="H9" s="270" t="s">
        <v>158</v>
      </c>
      <c r="K9" s="272"/>
      <c r="L9" s="272"/>
      <c r="M9" s="271" t="s">
        <v>162</v>
      </c>
      <c r="N9" s="270" t="s">
        <v>161</v>
      </c>
      <c r="O9" s="270" t="s">
        <v>160</v>
      </c>
      <c r="P9" s="270" t="s">
        <v>159</v>
      </c>
      <c r="Q9" s="270" t="s">
        <v>158</v>
      </c>
    </row>
    <row r="10" spans="2:17" ht="15" outlineLevel="1" x14ac:dyDescent="0.35">
      <c r="B10" s="262" t="s">
        <v>157</v>
      </c>
      <c r="C10" s="262"/>
      <c r="D10" s="266">
        <f>$D$4</f>
        <v>240</v>
      </c>
      <c r="E10" s="269">
        <v>4000</v>
      </c>
      <c r="F10" s="268">
        <f>E10/E13</f>
        <v>0.79960019990004993</v>
      </c>
      <c r="G10" s="263">
        <f>D10*E10</f>
        <v>960000</v>
      </c>
      <c r="H10" s="262"/>
      <c r="K10" s="262" t="s">
        <v>157</v>
      </c>
      <c r="L10" s="262"/>
      <c r="M10" s="266">
        <f>M$4</f>
        <v>108</v>
      </c>
      <c r="N10" s="269">
        <v>4000</v>
      </c>
      <c r="O10" s="268">
        <f>N10/N13</f>
        <v>0.79960019990004993</v>
      </c>
      <c r="P10" s="263">
        <f>M10*N10</f>
        <v>432000</v>
      </c>
      <c r="Q10" s="262"/>
    </row>
    <row r="11" spans="2:17" ht="15" outlineLevel="1" x14ac:dyDescent="0.35">
      <c r="B11" s="262" t="s">
        <v>156</v>
      </c>
      <c r="C11" s="262"/>
      <c r="D11" s="266">
        <f>$D$5</f>
        <v>75</v>
      </c>
      <c r="E11" s="266">
        <f>5000-E10</f>
        <v>1000</v>
      </c>
      <c r="F11" s="298">
        <v>0.15</v>
      </c>
      <c r="G11" s="263">
        <f>D11*E11</f>
        <v>75000</v>
      </c>
      <c r="H11" s="262"/>
      <c r="K11" s="262" t="s">
        <v>156</v>
      </c>
      <c r="L11" s="262"/>
      <c r="M11" s="266">
        <f>M$5</f>
        <v>71.999999999999972</v>
      </c>
      <c r="N11" s="266">
        <f>5000-N10</f>
        <v>1000</v>
      </c>
      <c r="O11" s="267">
        <f>N11/N13</f>
        <v>0.19990004997501248</v>
      </c>
      <c r="P11" s="263">
        <f>M11*N11</f>
        <v>71999.999999999971</v>
      </c>
      <c r="Q11" s="262"/>
    </row>
    <row r="12" spans="2:17" ht="15" outlineLevel="1" x14ac:dyDescent="0.35">
      <c r="B12" s="262" t="s">
        <v>169</v>
      </c>
      <c r="C12" s="262"/>
      <c r="D12" s="266">
        <f>D$6</f>
        <v>14400</v>
      </c>
      <c r="E12" s="265">
        <v>2.5</v>
      </c>
      <c r="F12" s="264">
        <f>E12/E13</f>
        <v>4.9975012493753122E-4</v>
      </c>
      <c r="G12" s="263">
        <f>D12*E12</f>
        <v>36000</v>
      </c>
      <c r="H12" s="262"/>
      <c r="K12" s="262" t="s">
        <v>117</v>
      </c>
      <c r="L12" s="262"/>
      <c r="M12" s="266">
        <f>M$6</f>
        <v>14400</v>
      </c>
      <c r="N12" s="265">
        <v>2.5</v>
      </c>
      <c r="O12" s="264">
        <f>N12/N13</f>
        <v>4.9975012493753122E-4</v>
      </c>
      <c r="P12" s="263">
        <f>M12*N12</f>
        <v>36000</v>
      </c>
      <c r="Q12" s="262"/>
    </row>
    <row r="13" spans="2:17" ht="15" outlineLevel="1" x14ac:dyDescent="0.35">
      <c r="B13" s="283" t="s">
        <v>113</v>
      </c>
      <c r="C13" s="283"/>
      <c r="D13" s="283"/>
      <c r="E13" s="281">
        <f>SUM(E10:E12)</f>
        <v>5002.5</v>
      </c>
      <c r="F13" s="282">
        <f>SUM(F10:F12)</f>
        <v>0.95009995002498748</v>
      </c>
      <c r="G13" s="281">
        <f>SUM(G10:G12)</f>
        <v>1071000</v>
      </c>
      <c r="H13" s="280">
        <f>1-G13/$G$7</f>
        <v>0.10750000000000004</v>
      </c>
      <c r="K13" s="283" t="s">
        <v>113</v>
      </c>
      <c r="L13" s="283"/>
      <c r="M13" s="283"/>
      <c r="N13" s="281">
        <f>SUM(N10:N12)</f>
        <v>5002.5</v>
      </c>
      <c r="O13" s="282">
        <f>SUM(O10:O12)</f>
        <v>1</v>
      </c>
      <c r="P13" s="281">
        <f>SUM(P10:P12)</f>
        <v>540000</v>
      </c>
      <c r="Q13" s="280">
        <f>1-P13/$P$7</f>
        <v>0</v>
      </c>
    </row>
    <row r="14" spans="2:17" outlineLevel="1" x14ac:dyDescent="0.3"/>
    <row r="15" spans="2:17" x14ac:dyDescent="0.3">
      <c r="B15" s="272"/>
      <c r="C15" s="272"/>
      <c r="D15" s="271" t="s">
        <v>162</v>
      </c>
      <c r="E15" s="270" t="s">
        <v>161</v>
      </c>
      <c r="F15" s="270" t="s">
        <v>160</v>
      </c>
      <c r="G15" s="270" t="s">
        <v>159</v>
      </c>
      <c r="H15" s="270" t="s">
        <v>158</v>
      </c>
      <c r="K15" s="272"/>
      <c r="L15" s="272"/>
      <c r="M15" s="271" t="s">
        <v>162</v>
      </c>
      <c r="N15" s="270" t="s">
        <v>161</v>
      </c>
      <c r="O15" s="270" t="s">
        <v>160</v>
      </c>
      <c r="P15" s="270" t="s">
        <v>159</v>
      </c>
      <c r="Q15" s="270" t="s">
        <v>158</v>
      </c>
    </row>
    <row r="16" spans="2:17" ht="15" x14ac:dyDescent="0.35">
      <c r="B16" s="262" t="s">
        <v>157</v>
      </c>
      <c r="C16" s="262"/>
      <c r="D16" s="266">
        <f>$D$4</f>
        <v>240</v>
      </c>
      <c r="E16" s="269">
        <v>4399.7119999999995</v>
      </c>
      <c r="F16" s="268">
        <f>E16/E19</f>
        <v>0.87952023028946102</v>
      </c>
      <c r="G16" s="263">
        <f>D16*E16</f>
        <v>1055930.8799999999</v>
      </c>
      <c r="H16" s="262"/>
      <c r="K16" s="262" t="s">
        <v>157</v>
      </c>
      <c r="L16" s="262"/>
      <c r="M16" s="266">
        <f>M$4</f>
        <v>108</v>
      </c>
      <c r="N16" s="269">
        <v>4250</v>
      </c>
      <c r="O16" s="268">
        <f>N16/N19</f>
        <v>0.84959219574604194</v>
      </c>
      <c r="P16" s="263">
        <f>M16*N16</f>
        <v>459000</v>
      </c>
      <c r="Q16" s="262"/>
    </row>
    <row r="17" spans="2:17" ht="15" x14ac:dyDescent="0.35">
      <c r="B17" s="262" t="s">
        <v>156</v>
      </c>
      <c r="C17" s="262"/>
      <c r="D17" s="266">
        <f>$D$5</f>
        <v>75</v>
      </c>
      <c r="E17" s="266">
        <f>5000-E16</f>
        <v>600.28800000000047</v>
      </c>
      <c r="F17" s="298">
        <v>0.1</v>
      </c>
      <c r="G17" s="263">
        <f>D17*E17</f>
        <v>45021.600000000035</v>
      </c>
      <c r="H17" s="262"/>
      <c r="K17" s="262" t="s">
        <v>156</v>
      </c>
      <c r="L17" s="262"/>
      <c r="M17" s="266">
        <f>M$5</f>
        <v>71.999999999999972</v>
      </c>
      <c r="N17" s="266">
        <f>5000-N16</f>
        <v>750</v>
      </c>
      <c r="O17" s="285">
        <f>N17/N19</f>
        <v>0.14992803454341916</v>
      </c>
      <c r="P17" s="263">
        <f>M17*N17</f>
        <v>53999.999999999978</v>
      </c>
      <c r="Q17" s="262"/>
    </row>
    <row r="18" spans="2:17" ht="15" x14ac:dyDescent="0.35">
      <c r="B18" s="262" t="s">
        <v>169</v>
      </c>
      <c r="C18" s="262"/>
      <c r="D18" s="266">
        <f>D$6</f>
        <v>14400</v>
      </c>
      <c r="E18" s="284">
        <v>2.4</v>
      </c>
      <c r="F18" s="264">
        <f>E18/E19</f>
        <v>4.7976971053894133E-4</v>
      </c>
      <c r="G18" s="263">
        <f>D18*E18</f>
        <v>34560</v>
      </c>
      <c r="H18" s="262"/>
      <c r="K18" s="262" t="s">
        <v>117</v>
      </c>
      <c r="L18" s="262"/>
      <c r="M18" s="266">
        <f>M$6</f>
        <v>14400</v>
      </c>
      <c r="N18" s="284">
        <v>2.4</v>
      </c>
      <c r="O18" s="264">
        <f>N18/N19</f>
        <v>4.7976971053894133E-4</v>
      </c>
      <c r="P18" s="263">
        <f>M18*N18</f>
        <v>34560</v>
      </c>
      <c r="Q18" s="262"/>
    </row>
    <row r="19" spans="2:17" ht="15" x14ac:dyDescent="0.35">
      <c r="B19" s="283" t="s">
        <v>113</v>
      </c>
      <c r="C19" s="283"/>
      <c r="D19" s="283"/>
      <c r="E19" s="281">
        <f>SUM(E16:E18)</f>
        <v>5002.3999999999996</v>
      </c>
      <c r="F19" s="282">
        <f>SUM(F16:F18)</f>
        <v>0.98</v>
      </c>
      <c r="G19" s="281">
        <f>SUM(G16:G18)</f>
        <v>1135512.48</v>
      </c>
      <c r="H19" s="280">
        <f>1-G19/$G$7</f>
        <v>5.3739599999999998E-2</v>
      </c>
      <c r="K19" s="276" t="s">
        <v>113</v>
      </c>
      <c r="L19" s="276"/>
      <c r="M19" s="276"/>
      <c r="N19" s="274">
        <f>SUM(N16:N18)</f>
        <v>5002.3999999999996</v>
      </c>
      <c r="O19" s="275">
        <f>SUM(O16:O18)</f>
        <v>1</v>
      </c>
      <c r="P19" s="274">
        <f>SUM(P16:P18)</f>
        <v>547560</v>
      </c>
      <c r="Q19" s="273">
        <f>1-P19/$P$7</f>
        <v>-1.4000000000000012E-2</v>
      </c>
    </row>
    <row r="21" spans="2:17" x14ac:dyDescent="0.3">
      <c r="B21" s="272"/>
      <c r="C21" s="272"/>
      <c r="D21" s="271" t="s">
        <v>162</v>
      </c>
      <c r="E21" s="270" t="s">
        <v>161</v>
      </c>
      <c r="F21" s="270" t="s">
        <v>160</v>
      </c>
      <c r="G21" s="270" t="s">
        <v>159</v>
      </c>
      <c r="H21" s="270" t="s">
        <v>158</v>
      </c>
      <c r="K21" s="279" t="s">
        <v>163</v>
      </c>
      <c r="L21" s="279"/>
      <c r="M21" s="278" t="s">
        <v>162</v>
      </c>
      <c r="N21" s="277" t="s">
        <v>161</v>
      </c>
      <c r="O21" s="277" t="s">
        <v>160</v>
      </c>
      <c r="P21" s="277" t="s">
        <v>159</v>
      </c>
      <c r="Q21" s="277" t="s">
        <v>158</v>
      </c>
    </row>
    <row r="22" spans="2:17" ht="15" x14ac:dyDescent="0.35">
      <c r="B22" s="262" t="s">
        <v>157</v>
      </c>
      <c r="C22" s="262"/>
      <c r="D22" s="266">
        <f>$D$4</f>
        <v>240</v>
      </c>
      <c r="E22" s="269">
        <v>4545</v>
      </c>
      <c r="F22" s="268">
        <f>E22/E25</f>
        <v>0.90859113398970459</v>
      </c>
      <c r="G22" s="263">
        <f>D22*E22</f>
        <v>1090800</v>
      </c>
      <c r="H22" s="262"/>
      <c r="K22" s="262" t="s">
        <v>157</v>
      </c>
      <c r="L22" s="262"/>
      <c r="M22" s="266">
        <f>M$4</f>
        <v>108</v>
      </c>
      <c r="N22" s="269">
        <v>4314.2857142857147</v>
      </c>
      <c r="O22" s="268">
        <f>N22/N25</f>
        <v>0.862443170135478</v>
      </c>
      <c r="P22" s="263">
        <f>M22*N22</f>
        <v>465942.85714285716</v>
      </c>
      <c r="Q22" s="262"/>
    </row>
    <row r="23" spans="2:17" ht="15" x14ac:dyDescent="0.35">
      <c r="B23" s="262" t="s">
        <v>156</v>
      </c>
      <c r="C23" s="262"/>
      <c r="D23" s="266">
        <f>$D$5</f>
        <v>75</v>
      </c>
      <c r="E23" s="266">
        <f>5000-E22</f>
        <v>455</v>
      </c>
      <c r="F23" s="298">
        <v>0.05</v>
      </c>
      <c r="G23" s="263">
        <f>D23*E23</f>
        <v>34125</v>
      </c>
      <c r="H23" s="262"/>
      <c r="K23" s="262" t="s">
        <v>156</v>
      </c>
      <c r="L23" s="262"/>
      <c r="M23" s="266">
        <f>M$5</f>
        <v>71.999999999999972</v>
      </c>
      <c r="N23" s="266">
        <f>5000-N22</f>
        <v>685.71428571428532</v>
      </c>
      <c r="O23" s="267">
        <f>N23/N25</f>
        <v>0.13707706015398316</v>
      </c>
      <c r="P23" s="263">
        <f>M23*N23</f>
        <v>49371.428571428522</v>
      </c>
      <c r="Q23" s="262"/>
    </row>
    <row r="24" spans="2:17" ht="15" x14ac:dyDescent="0.35">
      <c r="B24" s="262" t="s">
        <v>169</v>
      </c>
      <c r="C24" s="262"/>
      <c r="D24" s="266">
        <f>D$6</f>
        <v>14400</v>
      </c>
      <c r="E24" s="284">
        <v>2.25</v>
      </c>
      <c r="F24" s="264">
        <f>E24/E25</f>
        <v>4.4979759108401218E-4</v>
      </c>
      <c r="G24" s="263">
        <f>D24*E24</f>
        <v>32400</v>
      </c>
      <c r="H24" s="262"/>
      <c r="K24" s="262" t="s">
        <v>117</v>
      </c>
      <c r="L24" s="262"/>
      <c r="M24" s="266">
        <f>M$6</f>
        <v>14400</v>
      </c>
      <c r="N24" s="284">
        <v>2.4</v>
      </c>
      <c r="O24" s="264">
        <f>N24/N25</f>
        <v>4.7976971053894133E-4</v>
      </c>
      <c r="P24" s="263">
        <f>M24*N24</f>
        <v>34560</v>
      </c>
      <c r="Q24" s="262"/>
    </row>
    <row r="25" spans="2:17" ht="15" x14ac:dyDescent="0.35">
      <c r="B25" s="283" t="s">
        <v>113</v>
      </c>
      <c r="C25" s="283"/>
      <c r="D25" s="283"/>
      <c r="E25" s="281">
        <f>SUM(E22:E24)</f>
        <v>5002.25</v>
      </c>
      <c r="F25" s="282">
        <f>SUM(F22:F24)</f>
        <v>0.95904093158078862</v>
      </c>
      <c r="G25" s="281">
        <f>SUM(G22:G24)</f>
        <v>1157325</v>
      </c>
      <c r="H25" s="280">
        <f>1-G25/$G$7</f>
        <v>3.5562500000000052E-2</v>
      </c>
      <c r="K25" s="283" t="s">
        <v>113</v>
      </c>
      <c r="L25" s="283"/>
      <c r="M25" s="283"/>
      <c r="N25" s="281">
        <f>SUM(N22:N24)</f>
        <v>5002.3999999999996</v>
      </c>
      <c r="O25" s="282">
        <f>SUM(O22:O24)</f>
        <v>1</v>
      </c>
      <c r="P25" s="281">
        <f>SUM(P22:P24)</f>
        <v>549874.28571428568</v>
      </c>
      <c r="Q25" s="280">
        <f>1-P25/$P$7</f>
        <v>-1.8285714285714239E-2</v>
      </c>
    </row>
    <row r="27" spans="2:17" x14ac:dyDescent="0.3">
      <c r="B27" s="299" t="s">
        <v>163</v>
      </c>
      <c r="C27" s="299"/>
      <c r="D27" s="300" t="s">
        <v>162</v>
      </c>
      <c r="E27" s="301" t="s">
        <v>161</v>
      </c>
      <c r="F27" s="301" t="s">
        <v>160</v>
      </c>
      <c r="G27" s="301" t="s">
        <v>159</v>
      </c>
      <c r="H27" s="301" t="s">
        <v>158</v>
      </c>
      <c r="K27" s="272"/>
      <c r="L27" s="272"/>
      <c r="M27" s="271" t="s">
        <v>162</v>
      </c>
      <c r="N27" s="270" t="s">
        <v>161</v>
      </c>
      <c r="O27" s="270" t="s">
        <v>160</v>
      </c>
      <c r="P27" s="270" t="s">
        <v>159</v>
      </c>
      <c r="Q27" s="270" t="s">
        <v>158</v>
      </c>
    </row>
    <row r="28" spans="2:17" ht="15" x14ac:dyDescent="0.35">
      <c r="B28" s="262" t="s">
        <v>157</v>
      </c>
      <c r="C28" s="262"/>
      <c r="D28" s="266">
        <f>$D$4</f>
        <v>240</v>
      </c>
      <c r="E28" s="269">
        <v>4825.454545454545</v>
      </c>
      <c r="F28" s="268">
        <f>E28/E31</f>
        <v>0.96470502708007699</v>
      </c>
      <c r="G28" s="263">
        <f>D28*E28</f>
        <v>1158109.0909090908</v>
      </c>
      <c r="H28" s="262"/>
      <c r="K28" s="262" t="s">
        <v>157</v>
      </c>
      <c r="L28" s="262"/>
      <c r="M28" s="266">
        <f>M$4</f>
        <v>108</v>
      </c>
      <c r="N28" s="269">
        <v>4750</v>
      </c>
      <c r="O28" s="268">
        <f>N28/N31</f>
        <v>0.94962015193922433</v>
      </c>
      <c r="P28" s="263">
        <f>M28*N28</f>
        <v>513000</v>
      </c>
      <c r="Q28" s="262"/>
    </row>
    <row r="29" spans="2:17" ht="15" x14ac:dyDescent="0.35">
      <c r="B29" s="262" t="s">
        <v>156</v>
      </c>
      <c r="C29" s="262"/>
      <c r="D29" s="266">
        <f>$D$5</f>
        <v>75</v>
      </c>
      <c r="E29" s="266">
        <f>5000-E28</f>
        <v>174.54545454545496</v>
      </c>
      <c r="F29" s="298">
        <f>E29/E31</f>
        <v>3.4895132855948613E-2</v>
      </c>
      <c r="G29" s="263">
        <f>D29*E29</f>
        <v>13090.909090909121</v>
      </c>
      <c r="H29" s="262"/>
      <c r="K29" s="262" t="s">
        <v>156</v>
      </c>
      <c r="L29" s="262"/>
      <c r="M29" s="266">
        <f>M$5</f>
        <v>71.999999999999972</v>
      </c>
      <c r="N29" s="266">
        <f>5000-N28</f>
        <v>250</v>
      </c>
      <c r="O29" s="267">
        <f>N29/N31</f>
        <v>4.998000799680128E-2</v>
      </c>
      <c r="P29" s="263">
        <f>M29*N29</f>
        <v>17999.999999999993</v>
      </c>
      <c r="Q29" s="262"/>
    </row>
    <row r="30" spans="2:17" ht="15" x14ac:dyDescent="0.35">
      <c r="B30" s="262" t="s">
        <v>169</v>
      </c>
      <c r="C30" s="262"/>
      <c r="D30" s="266">
        <f>D$6</f>
        <v>14400</v>
      </c>
      <c r="E30" s="265">
        <v>2</v>
      </c>
      <c r="F30" s="264">
        <f>E30/E31</f>
        <v>3.9984006397441024E-4</v>
      </c>
      <c r="G30" s="263">
        <f>D30*E30</f>
        <v>28800</v>
      </c>
      <c r="H30" s="262"/>
      <c r="K30" s="262" t="s">
        <v>117</v>
      </c>
      <c r="L30" s="262"/>
      <c r="M30" s="266">
        <f>M$6</f>
        <v>14400</v>
      </c>
      <c r="N30" s="265">
        <v>2</v>
      </c>
      <c r="O30" s="264">
        <f>N30/N31</f>
        <v>3.9984006397441024E-4</v>
      </c>
      <c r="P30" s="263">
        <f>M30*N30</f>
        <v>28800</v>
      </c>
      <c r="Q30" s="262"/>
    </row>
    <row r="31" spans="2:17" ht="15" x14ac:dyDescent="0.35">
      <c r="B31" s="276" t="s">
        <v>113</v>
      </c>
      <c r="C31" s="276"/>
      <c r="D31" s="276"/>
      <c r="E31" s="274">
        <f>SUM(E28:E30)</f>
        <v>5002</v>
      </c>
      <c r="F31" s="275">
        <f>SUM(F28:F30)</f>
        <v>1</v>
      </c>
      <c r="G31" s="274">
        <f>SUM(G28:G30)</f>
        <v>1200000</v>
      </c>
      <c r="H31" s="273">
        <f>1-G31/$G$7</f>
        <v>0</v>
      </c>
      <c r="K31" s="261" t="s">
        <v>113</v>
      </c>
      <c r="L31" s="261"/>
      <c r="M31" s="261"/>
      <c r="N31" s="259">
        <f>SUM(N28:N30)</f>
        <v>5002</v>
      </c>
      <c r="O31" s="260">
        <f>SUM(O28:O30)</f>
        <v>1</v>
      </c>
      <c r="P31" s="259">
        <f>SUM(P28:P30)</f>
        <v>559800</v>
      </c>
      <c r="Q31" s="258">
        <f>1-P31/$P$7</f>
        <v>-3.6666666666666625E-2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CB1 Cassava farm</vt:lpstr>
      <vt:lpstr>CB1 Cassava Flour</vt:lpstr>
      <vt:lpstr>PR Flour</vt:lpstr>
      <vt:lpstr>Cassava-Wheat Flour Mix</vt:lpstr>
      <vt:lpstr>'Cassava-Wheat Flour Mix'!ROE</vt:lpstr>
      <vt:lpstr>ROE</vt:lpstr>
      <vt:lpstr>ROE_2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van lieshout</dc:creator>
  <cp:lastModifiedBy>olivier van lieshout</cp:lastModifiedBy>
  <dcterms:created xsi:type="dcterms:W3CDTF">2018-01-29T13:31:24Z</dcterms:created>
  <dcterms:modified xsi:type="dcterms:W3CDTF">2018-01-29T13:46:47Z</dcterms:modified>
</cp:coreProperties>
</file>