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\Google Drive\BI Projects\BI Nigeria\BI Nigeria Uncle Ben\"/>
    </mc:Choice>
  </mc:AlternateContent>
  <bookViews>
    <workbookView xWindow="0" yWindow="0" windowWidth="15120" windowHeight="8772"/>
  </bookViews>
  <sheets>
    <sheet name="CB1 (Bread)" sheetId="5" r:id="rId1"/>
  </sheets>
  <externalReferences>
    <externalReference r:id="rId2"/>
    <externalReference r:id="rId3"/>
  </externalReferences>
  <definedNames>
    <definedName name="_Fill" localSheetId="0" hidden="1">#REF!</definedName>
    <definedName name="_Fill" hidden="1">#REF!</definedName>
    <definedName name="_Olivier" localSheetId="0" hidden="1">#REF!</definedName>
    <definedName name="_Olivier" hidden="1">#REF!</definedName>
    <definedName name="ROE" localSheetId="0">'CB1 (Bread)'!$J$1</definedName>
    <definedName name="ROE">'[1]CB4 Delightful'!$K$1</definedName>
    <definedName name="ROEL" localSheetId="0">#REF!</definedName>
    <definedName name="ROEL">#REF!</definedName>
    <definedName name="VAT">'[2]CB4 S0-HBB-400k'!$Q$54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8" i="5"/>
  <c r="F34" i="5"/>
  <c r="F28" i="5"/>
  <c r="F21" i="5"/>
  <c r="F20" i="5"/>
  <c r="F11" i="5"/>
  <c r="F15" i="5" s="1"/>
  <c r="C21" i="5"/>
  <c r="C14" i="5"/>
  <c r="C11" i="5"/>
  <c r="C22" i="5" l="1"/>
  <c r="C7" i="5" l="1"/>
  <c r="C23" i="5"/>
  <c r="F13" i="5"/>
  <c r="C13" i="5"/>
  <c r="F4" i="5"/>
  <c r="F22" i="5" l="1"/>
  <c r="F37" i="5"/>
  <c r="G37" i="5" s="1"/>
  <c r="C19" i="5"/>
  <c r="C8" i="5"/>
  <c r="C9" i="5" s="1"/>
  <c r="C15" i="5"/>
  <c r="F17" i="5"/>
  <c r="F38" i="5" l="1"/>
  <c r="C26" i="5"/>
  <c r="D15" i="5" s="1"/>
  <c r="F6" i="5"/>
  <c r="F24" i="5"/>
  <c r="C28" i="5" l="1"/>
  <c r="F29" i="5" s="1"/>
  <c r="D26" i="5"/>
  <c r="D14" i="5"/>
  <c r="C31" i="5"/>
  <c r="D23" i="5"/>
  <c r="D13" i="5"/>
  <c r="D19" i="5"/>
  <c r="G24" i="5"/>
  <c r="F26" i="5"/>
  <c r="F7" i="5" s="1"/>
  <c r="F8" i="5" s="1"/>
  <c r="G8" i="5" s="1"/>
  <c r="G20" i="5"/>
  <c r="G22" i="5"/>
  <c r="G21" i="5"/>
  <c r="G13" i="5"/>
  <c r="G17" i="5"/>
  <c r="C29" i="5" l="1"/>
  <c r="F39" i="5"/>
  <c r="F9" i="5"/>
  <c r="F40" i="5"/>
  <c r="F31" i="5"/>
  <c r="G31" i="5" s="1"/>
  <c r="C32" i="5"/>
  <c r="C34" i="5" l="1"/>
  <c r="F32" i="5"/>
  <c r="D34" i="5" l="1"/>
  <c r="C36" i="5"/>
  <c r="D36" i="5" s="1"/>
  <c r="D31" i="5"/>
  <c r="D32" i="5"/>
</calcChain>
</file>

<file path=xl/comments1.xml><?xml version="1.0" encoding="utf-8"?>
<comments xmlns="http://schemas.openxmlformats.org/spreadsheetml/2006/main">
  <authors>
    <author>Olivier van Lieshout</author>
    <author>olivier van lieshout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</rPr>
          <t>Olivier van Lieshout:</t>
        </r>
        <r>
          <rPr>
            <sz val="9"/>
            <color indexed="81"/>
            <rFont val="Tahoma"/>
            <family val="2"/>
          </rPr>
          <t xml:space="preserve">
Macadams 120 gasoven
3.6 n per loaf (MS)
40 KVA genset N35 per KVA
</t>
        </r>
      </text>
    </comment>
    <comment ref="F19" authorId="1" shapeId="0">
      <text>
        <r>
          <rPr>
            <b/>
            <sz val="9"/>
            <color indexed="81"/>
            <rFont val="Tahoma"/>
            <family val="2"/>
          </rPr>
          <t>olivier van lieshout:</t>
        </r>
        <r>
          <rPr>
            <sz val="9"/>
            <color indexed="81"/>
            <rFont val="Tahoma"/>
            <family val="2"/>
          </rPr>
          <t xml:space="preserve">
5 production, 3 sales, 1 admin, 1 management
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</rPr>
          <t>olivier van lieshout:</t>
        </r>
        <r>
          <rPr>
            <sz val="9"/>
            <color indexed="81"/>
            <rFont val="Tahoma"/>
            <family val="2"/>
          </rPr>
          <t xml:space="preserve">
Bag+no label+clip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Olivier van Lieshout:</t>
        </r>
        <r>
          <rPr>
            <sz val="8"/>
            <color indexed="81"/>
            <rFont val="Tahoma"/>
            <family val="2"/>
          </rPr>
          <t xml:space="preserve">
Rent, spare parts, maintenance, marketing
</t>
        </r>
      </text>
    </comment>
  </commentList>
</comments>
</file>

<file path=xl/sharedStrings.xml><?xml version="1.0" encoding="utf-8"?>
<sst xmlns="http://schemas.openxmlformats.org/spreadsheetml/2006/main" count="58" uniqueCount="58">
  <si>
    <t>Total Cost</t>
  </si>
  <si>
    <t>ROE</t>
  </si>
  <si>
    <t>per kg</t>
  </si>
  <si>
    <t>VC</t>
  </si>
  <si>
    <t>Margin</t>
  </si>
  <si>
    <t>Margin %</t>
  </si>
  <si>
    <t>FC</t>
  </si>
  <si>
    <t>Contribution</t>
  </si>
  <si>
    <t>FC1</t>
  </si>
  <si>
    <t>FC2</t>
  </si>
  <si>
    <t>FC3</t>
  </si>
  <si>
    <t>per year</t>
  </si>
  <si>
    <t>Sales</t>
  </si>
  <si>
    <t>Profit Before Tax</t>
  </si>
  <si>
    <t>Price (EXW)</t>
  </si>
  <si>
    <t>Profitability %</t>
  </si>
  <si>
    <t>Price (Flour, premix, DDP factory)</t>
  </si>
  <si>
    <t>Processing ratio</t>
  </si>
  <si>
    <t>Depreciation %</t>
  </si>
  <si>
    <t>Raw Material cost</t>
  </si>
  <si>
    <t>Other ingredients (DDP factory)</t>
  </si>
  <si>
    <t>VC1</t>
  </si>
  <si>
    <t>Interest rate</t>
  </si>
  <si>
    <t>Production volume per hour (kg/hour)</t>
  </si>
  <si>
    <t>VC2</t>
  </si>
  <si>
    <t>Number of FTE employed</t>
  </si>
  <si>
    <t>Salaries staff incl. social taxes</t>
  </si>
  <si>
    <t>Other overhead, repairs, maintenance</t>
  </si>
  <si>
    <t>Number of cartons per kg</t>
  </si>
  <si>
    <t>VC3</t>
  </si>
  <si>
    <t>FC % attributed to product</t>
  </si>
  <si>
    <t>FC (one single product)</t>
  </si>
  <si>
    <t>Volume sold q (kg)</t>
  </si>
  <si>
    <t>Variable cost</t>
  </si>
  <si>
    <t>Break even volume (sales)</t>
  </si>
  <si>
    <t>Fixed Cost / q</t>
  </si>
  <si>
    <t>Break even volume (raw material)</t>
  </si>
  <si>
    <t>Total Cost / q</t>
  </si>
  <si>
    <t>Output capacity in kg per hour</t>
  </si>
  <si>
    <t>Working hours per day</t>
  </si>
  <si>
    <t>Profit / q</t>
  </si>
  <si>
    <t>Length of production season in days</t>
  </si>
  <si>
    <t>Max. output capacity per year</t>
  </si>
  <si>
    <t>Capacity utilization %</t>
  </si>
  <si>
    <t>ROI (at 80% capacity utilization)</t>
  </si>
  <si>
    <r>
      <t xml:space="preserve">Note: figures in </t>
    </r>
    <r>
      <rPr>
        <b/>
        <i/>
        <sz val="10"/>
        <color indexed="12"/>
        <rFont val="Arial"/>
        <family val="2"/>
      </rPr>
      <t>blue</t>
    </r>
    <r>
      <rPr>
        <i/>
        <sz val="10"/>
        <rFont val="Arial"/>
        <family val="2"/>
      </rPr>
      <t xml:space="preserve"> are assumptions; figures in </t>
    </r>
    <r>
      <rPr>
        <b/>
        <i/>
        <sz val="10"/>
        <color indexed="14"/>
        <rFont val="Arial"/>
        <family val="2"/>
      </rPr>
      <t>pink</t>
    </r>
    <r>
      <rPr>
        <i/>
        <sz val="10"/>
        <rFont val="Arial"/>
        <family val="2"/>
      </rPr>
      <t xml:space="preserve"> are calculated in another sheet; figures in </t>
    </r>
    <r>
      <rPr>
        <b/>
        <i/>
        <sz val="10"/>
        <rFont val="Arial"/>
        <family val="2"/>
      </rPr>
      <t>black</t>
    </r>
    <r>
      <rPr>
        <i/>
        <sz val="10"/>
        <rFont val="Arial"/>
        <family val="2"/>
      </rPr>
      <t xml:space="preserve"> are formulas</t>
    </r>
  </si>
  <si>
    <t>FG Losses</t>
  </si>
  <si>
    <t>NGN</t>
  </si>
  <si>
    <t>VAT, 5%</t>
  </si>
  <si>
    <t>Cost of packing (bag, clip, carton box)</t>
  </si>
  <si>
    <t>Production cost per hour (oil, electricity, no labor)</t>
  </si>
  <si>
    <t>Asset value</t>
  </si>
  <si>
    <t>Debt (50% of Asset value)</t>
  </si>
  <si>
    <t>Price (discounted, delivered market)</t>
  </si>
  <si>
    <t>VC4 Transport + Sales Tax 7%</t>
  </si>
  <si>
    <t>CB1 Wholesale Bread Products, B2B, 900 grams packed in cellophane</t>
  </si>
  <si>
    <t>Uncle Ben's Bakery, Nigeria</t>
  </si>
  <si>
    <t>Oct.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</si>
</sst>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€&quot;#,##0;\-&quot;€&quot;#,##0"/>
    <numFmt numFmtId="42" formatCode="_-&quot;€&quot;* #,##0_-;\-&quot;€&quot;* #,##0_-;_-&quot;€&quot;* &quot;-&quot;_-;_-@_-"/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  <numFmt numFmtId="169" formatCode="0\ &quot;pc/day&quot;"/>
    <numFmt numFmtId="170" formatCode="#,##0\ &quot;pc/yr&quot;"/>
    <numFmt numFmtId="171" formatCode="0\ &quot;pc/hr&quot;"/>
    <numFmt numFmtId="173" formatCode="#,##0\ &quot;pc/day&quot;"/>
  </numFmts>
  <fonts count="20" x14ac:knownFonts="1">
    <font>
      <sz val="10"/>
      <name val="MS Sans Serif"/>
    </font>
    <font>
      <sz val="1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name val="MS Sans Serif"/>
      <family val="2"/>
    </font>
    <font>
      <sz val="10"/>
      <color rgb="FF0000FF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indexed="12"/>
      <name val="Arial"/>
      <family val="2"/>
    </font>
    <font>
      <b/>
      <i/>
      <sz val="10"/>
      <color indexed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</cellStyleXfs>
  <cellXfs count="71">
    <xf numFmtId="0" fontId="0" fillId="0" borderId="0" xfId="0"/>
    <xf numFmtId="9" fontId="1" fillId="2" borderId="0" xfId="1" applyFont="1" applyFill="1" applyBorder="1"/>
    <xf numFmtId="0" fontId="1" fillId="3" borderId="0" xfId="7" applyFill="1"/>
    <xf numFmtId="0" fontId="1" fillId="2" borderId="2" xfId="7" applyFill="1" applyBorder="1"/>
    <xf numFmtId="0" fontId="1" fillId="2" borderId="8" xfId="7" applyFill="1" applyBorder="1"/>
    <xf numFmtId="0" fontId="1" fillId="2" borderId="3" xfId="7" applyFill="1" applyBorder="1"/>
    <xf numFmtId="0" fontId="1" fillId="2" borderId="4" xfId="7" applyFill="1" applyBorder="1"/>
    <xf numFmtId="165" fontId="5" fillId="2" borderId="0" xfId="8" applyNumberFormat="1" applyFont="1" applyFill="1" applyBorder="1" applyAlignment="1">
      <alignment horizontal="center"/>
    </xf>
    <xf numFmtId="0" fontId="5" fillId="2" borderId="0" xfId="7" applyFont="1" applyFill="1" applyBorder="1" applyAlignment="1">
      <alignment horizontal="center"/>
    </xf>
    <xf numFmtId="0" fontId="5" fillId="2" borderId="4" xfId="7" applyFont="1" applyFill="1" applyBorder="1" applyAlignment="1">
      <alignment horizontal="center"/>
    </xf>
    <xf numFmtId="0" fontId="5" fillId="2" borderId="0" xfId="7" applyFont="1" applyFill="1" applyAlignment="1">
      <alignment horizontal="center"/>
    </xf>
    <xf numFmtId="0" fontId="5" fillId="2" borderId="5" xfId="7" applyFont="1" applyFill="1" applyBorder="1" applyAlignment="1">
      <alignment horizontal="center"/>
    </xf>
    <xf numFmtId="0" fontId="1" fillId="2" borderId="4" xfId="7" applyFont="1" applyFill="1" applyBorder="1"/>
    <xf numFmtId="9" fontId="6" fillId="2" borderId="0" xfId="9" applyFont="1" applyFill="1" applyBorder="1" applyAlignment="1">
      <alignment horizontal="left"/>
    </xf>
    <xf numFmtId="165" fontId="1" fillId="2" borderId="0" xfId="8" applyNumberFormat="1" applyFill="1" applyBorder="1"/>
    <xf numFmtId="0" fontId="1" fillId="2" borderId="5" xfId="7" applyFill="1" applyBorder="1"/>
    <xf numFmtId="165" fontId="1" fillId="2" borderId="0" xfId="7" applyNumberFormat="1" applyFill="1" applyBorder="1"/>
    <xf numFmtId="0" fontId="5" fillId="2" borderId="4" xfId="7" applyFont="1" applyFill="1" applyBorder="1"/>
    <xf numFmtId="165" fontId="5" fillId="2" borderId="0" xfId="7" applyNumberFormat="1" applyFont="1" applyFill="1" applyBorder="1"/>
    <xf numFmtId="0" fontId="1" fillId="2" borderId="6" xfId="7" applyFill="1" applyBorder="1"/>
    <xf numFmtId="9" fontId="1" fillId="2" borderId="1" xfId="9" applyNumberFormat="1" applyFill="1" applyBorder="1"/>
    <xf numFmtId="0" fontId="1" fillId="2" borderId="7" xfId="7" applyFill="1" applyBorder="1"/>
    <xf numFmtId="165" fontId="1" fillId="2" borderId="8" xfId="8" applyNumberFormat="1" applyFill="1" applyBorder="1"/>
    <xf numFmtId="165" fontId="7" fillId="2" borderId="9" xfId="8" applyNumberFormat="1" applyFont="1" applyFill="1" applyBorder="1"/>
    <xf numFmtId="164" fontId="7" fillId="2" borderId="9" xfId="7" applyNumberFormat="1" applyFont="1" applyFill="1" applyBorder="1"/>
    <xf numFmtId="9" fontId="6" fillId="2" borderId="5" xfId="9" applyNumberFormat="1" applyFont="1" applyFill="1" applyBorder="1" applyAlignment="1">
      <alignment horizontal="left"/>
    </xf>
    <xf numFmtId="0" fontId="1" fillId="2" borderId="0" xfId="7" applyFill="1" applyBorder="1"/>
    <xf numFmtId="166" fontId="7" fillId="2" borderId="5" xfId="7" applyNumberFormat="1" applyFont="1" applyFill="1" applyBorder="1"/>
    <xf numFmtId="165" fontId="5" fillId="2" borderId="0" xfId="8" applyNumberFormat="1" applyFont="1" applyFill="1" applyBorder="1"/>
    <xf numFmtId="2" fontId="5" fillId="2" borderId="0" xfId="8" applyNumberFormat="1" applyFont="1" applyFill="1" applyBorder="1" applyAlignment="1"/>
    <xf numFmtId="0" fontId="5" fillId="2" borderId="6" xfId="7" applyFont="1" applyFill="1" applyBorder="1"/>
    <xf numFmtId="9" fontId="6" fillId="2" borderId="7" xfId="9" applyNumberFormat="1" applyFont="1" applyFill="1" applyBorder="1" applyAlignment="1">
      <alignment horizontal="left"/>
    </xf>
    <xf numFmtId="165" fontId="5" fillId="2" borderId="1" xfId="7" applyNumberFormat="1" applyFont="1" applyFill="1" applyBorder="1"/>
    <xf numFmtId="2" fontId="1" fillId="2" borderId="8" xfId="8" applyNumberFormat="1" applyFill="1" applyBorder="1"/>
    <xf numFmtId="9" fontId="1" fillId="2" borderId="0" xfId="9" applyFill="1" applyBorder="1"/>
    <xf numFmtId="9" fontId="6" fillId="2" borderId="5" xfId="9" applyFont="1" applyFill="1" applyBorder="1" applyAlignment="1">
      <alignment horizontal="left"/>
    </xf>
    <xf numFmtId="165" fontId="9" fillId="2" borderId="9" xfId="8" applyNumberFormat="1" applyFont="1" applyFill="1" applyBorder="1"/>
    <xf numFmtId="0" fontId="1" fillId="2" borderId="1" xfId="7" applyFill="1" applyBorder="1"/>
    <xf numFmtId="9" fontId="1" fillId="2" borderId="1" xfId="9" applyFill="1" applyBorder="1"/>
    <xf numFmtId="0" fontId="1" fillId="2" borderId="8" xfId="7" applyFont="1" applyFill="1" applyBorder="1" applyAlignment="1">
      <alignment horizontal="right"/>
    </xf>
    <xf numFmtId="9" fontId="1" fillId="2" borderId="8" xfId="9" applyFill="1" applyBorder="1"/>
    <xf numFmtId="0" fontId="1" fillId="2" borderId="0" xfId="7" applyFont="1" applyFill="1" applyBorder="1" applyAlignment="1">
      <alignment horizontal="right"/>
    </xf>
    <xf numFmtId="0" fontId="6" fillId="2" borderId="6" xfId="7" applyFont="1" applyFill="1" applyBorder="1"/>
    <xf numFmtId="165" fontId="5" fillId="2" borderId="0" xfId="8" applyNumberFormat="1" applyFont="1" applyFill="1" applyBorder="1" applyAlignment="1"/>
    <xf numFmtId="1" fontId="5" fillId="2" borderId="1" xfId="8" applyNumberFormat="1" applyFont="1" applyFill="1" applyBorder="1"/>
    <xf numFmtId="1" fontId="5" fillId="2" borderId="0" xfId="8" applyNumberFormat="1" applyFont="1" applyFill="1" applyBorder="1"/>
    <xf numFmtId="1" fontId="1" fillId="2" borderId="0" xfId="9" applyNumberFormat="1" applyFill="1" applyBorder="1"/>
    <xf numFmtId="1" fontId="1" fillId="2" borderId="0" xfId="8" applyNumberFormat="1" applyFill="1" applyBorder="1"/>
    <xf numFmtId="1" fontId="1" fillId="2" borderId="0" xfId="8" applyNumberFormat="1" applyFont="1" applyFill="1" applyBorder="1"/>
    <xf numFmtId="165" fontId="5" fillId="2" borderId="0" xfId="7" applyNumberFormat="1" applyFont="1" applyFill="1" applyBorder="1" applyAlignment="1">
      <alignment horizontal="center"/>
    </xf>
    <xf numFmtId="0" fontId="2" fillId="4" borderId="2" xfId="7" applyFont="1" applyFill="1" applyBorder="1"/>
    <xf numFmtId="0" fontId="2" fillId="4" borderId="8" xfId="7" applyFont="1" applyFill="1" applyBorder="1"/>
    <xf numFmtId="0" fontId="2" fillId="4" borderId="3" xfId="7" applyFont="1" applyFill="1" applyBorder="1"/>
    <xf numFmtId="165" fontId="3" fillId="4" borderId="1" xfId="8" applyNumberFormat="1" applyFont="1" applyFill="1" applyBorder="1"/>
    <xf numFmtId="0" fontId="3" fillId="4" borderId="1" xfId="7" applyFont="1" applyFill="1" applyBorder="1"/>
    <xf numFmtId="43" fontId="9" fillId="2" borderId="9" xfId="10" applyNumberFormat="1" applyFont="1" applyFill="1" applyBorder="1"/>
    <xf numFmtId="0" fontId="19" fillId="4" borderId="6" xfId="7" applyFont="1" applyFill="1" applyBorder="1"/>
    <xf numFmtId="43" fontId="7" fillId="2" borderId="9" xfId="7" applyNumberFormat="1" applyFont="1" applyFill="1" applyBorder="1"/>
    <xf numFmtId="165" fontId="7" fillId="5" borderId="9" xfId="7" applyNumberFormat="1" applyFont="1" applyFill="1" applyBorder="1"/>
    <xf numFmtId="164" fontId="9" fillId="2" borderId="9" xfId="7" applyNumberFormat="1" applyFont="1" applyFill="1" applyBorder="1"/>
    <xf numFmtId="5" fontId="1" fillId="2" borderId="5" xfId="7" applyNumberFormat="1" applyFill="1" applyBorder="1"/>
    <xf numFmtId="165" fontId="7" fillId="5" borderId="9" xfId="8" applyNumberFormat="1" applyFont="1" applyFill="1" applyBorder="1"/>
    <xf numFmtId="165" fontId="1" fillId="0" borderId="9" xfId="8" applyNumberFormat="1" applyFont="1" applyFill="1" applyBorder="1"/>
    <xf numFmtId="169" fontId="1" fillId="2" borderId="5" xfId="7" applyNumberFormat="1" applyFill="1" applyBorder="1"/>
    <xf numFmtId="169" fontId="6" fillId="2" borderId="5" xfId="9" applyNumberFormat="1" applyFont="1" applyFill="1" applyBorder="1" applyAlignment="1">
      <alignment horizontal="left"/>
    </xf>
    <xf numFmtId="170" fontId="1" fillId="2" borderId="5" xfId="7" applyNumberFormat="1" applyFill="1" applyBorder="1"/>
    <xf numFmtId="171" fontId="9" fillId="2" borderId="5" xfId="7" applyNumberFormat="1" applyFont="1" applyFill="1" applyBorder="1"/>
    <xf numFmtId="0" fontId="4" fillId="4" borderId="7" xfId="7" applyFont="1" applyFill="1" applyBorder="1" applyAlignment="1">
      <alignment horizontal="center"/>
    </xf>
    <xf numFmtId="165" fontId="7" fillId="0" borderId="9" xfId="8" applyNumberFormat="1" applyFont="1" applyFill="1" applyBorder="1"/>
    <xf numFmtId="165" fontId="1" fillId="0" borderId="0" xfId="8" applyNumberFormat="1" applyFont="1" applyFill="1" applyBorder="1"/>
    <xf numFmtId="173" fontId="9" fillId="2" borderId="9" xfId="7" applyNumberFormat="1" applyFont="1" applyFill="1" applyBorder="1"/>
  </cellXfs>
  <cellStyles count="17">
    <cellStyle name="Comma [0] 2" xfId="10"/>
    <cellStyle name="Comma 2" xfId="3"/>
    <cellStyle name="Comma 2 2" xfId="12"/>
    <cellStyle name="Comma 3" xfId="8"/>
    <cellStyle name="Comma 4" xfId="6"/>
    <cellStyle name="Currency [0] 2" xfId="14"/>
    <cellStyle name="Normal" xfId="0" builtinId="0"/>
    <cellStyle name="Normal 2" xfId="4"/>
    <cellStyle name="Normal 2 2" xfId="11"/>
    <cellStyle name="Normal 3" xfId="7"/>
    <cellStyle name="Normal 4" xfId="15"/>
    <cellStyle name="Percent" xfId="1" builtinId="5"/>
    <cellStyle name="Percent 2" xfId="2"/>
    <cellStyle name="Percent 2 2" xfId="13"/>
    <cellStyle name="Percent 3" xfId="5"/>
    <cellStyle name="Percent 4" xfId="9"/>
    <cellStyle name="Percent 5" xfId="16"/>
  </cellStyles>
  <dxfs count="9"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FF"/>
      <color rgb="FFFF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ivier/AppData/Local/Microsoft/Windows/Temporary%20Internet%20Files/Content.Outlook/4MJD8DMU/Kopie%20van%20CB4%20Delightful%20Foods%20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livier's%20Documents/BI/BI%20Somaliland%20Hassan%20Brothe/CB4%20Hassan%20Brothers%20Bak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4 Delightful"/>
      <sheetName val="CB4 Delightful (2)"/>
      <sheetName val="CB4 Delightful (3)"/>
      <sheetName val="CB4 Delightful (4)"/>
      <sheetName val="Building"/>
      <sheetName val="Equipment"/>
      <sheetName val="Equipment (kW)"/>
      <sheetName val="Equipment Layout"/>
      <sheetName val="Functional Layout"/>
      <sheetName val="Bakery Systems"/>
      <sheetName val="Equipment groups"/>
    </sheetNames>
    <sheetDataSet>
      <sheetData sheetId="0">
        <row r="1">
          <cell r="K1">
            <v>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Building"/>
      <sheetName val="CB4 S0-HBB-400k"/>
      <sheetName val="CB4 S0-HBB-100k"/>
      <sheetName val="Timeline"/>
      <sheetName val="Bakery equipment"/>
    </sheetNames>
    <sheetDataSet>
      <sheetData sheetId="0"/>
      <sheetData sheetId="1">
        <row r="3">
          <cell r="R3">
            <v>2014</v>
          </cell>
        </row>
        <row r="54">
          <cell r="Q54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B2:G41"/>
  <sheetViews>
    <sheetView tabSelected="1" zoomScale="80" zoomScaleNormal="80" workbookViewId="0">
      <selection activeCell="L35" sqref="L35"/>
    </sheetView>
  </sheetViews>
  <sheetFormatPr defaultColWidth="9.109375" defaultRowHeight="13.2" x14ac:dyDescent="0.25"/>
  <cols>
    <col min="1" max="1" width="2.109375" style="2" customWidth="1"/>
    <col min="2" max="2" width="44" style="2" customWidth="1"/>
    <col min="3" max="3" width="8.109375" style="2" customWidth="1"/>
    <col min="4" max="4" width="6.88671875" style="2" customWidth="1"/>
    <col min="5" max="5" width="34.6640625" style="2" bestFit="1" customWidth="1"/>
    <col min="6" max="6" width="15.88671875" style="2" customWidth="1"/>
    <col min="7" max="7" width="13.88671875" style="2" customWidth="1"/>
    <col min="8" max="8" width="3.5546875" style="2" customWidth="1"/>
    <col min="9" max="9" width="5.33203125" style="2" bestFit="1" customWidth="1"/>
    <col min="10" max="10" width="7.33203125" style="2" customWidth="1"/>
    <col min="11" max="11" width="8.33203125" style="2" customWidth="1"/>
    <col min="12" max="14" width="9.109375" style="2"/>
    <col min="15" max="15" width="8.44140625" style="2" customWidth="1"/>
    <col min="16" max="16384" width="9.109375" style="2"/>
  </cols>
  <sheetData>
    <row r="2" spans="2:7" ht="17.399999999999999" x14ac:dyDescent="0.3">
      <c r="B2" s="50" t="s">
        <v>56</v>
      </c>
      <c r="C2" s="51"/>
      <c r="D2" s="51"/>
      <c r="E2" s="51"/>
      <c r="F2" s="51"/>
      <c r="G2" s="52"/>
    </row>
    <row r="3" spans="2:7" ht="13.8" x14ac:dyDescent="0.25">
      <c r="B3" s="56" t="s">
        <v>55</v>
      </c>
      <c r="C3" s="53"/>
      <c r="D3" s="54"/>
      <c r="E3" s="54"/>
      <c r="F3" s="54"/>
      <c r="G3" s="67" t="s">
        <v>57</v>
      </c>
    </row>
    <row r="4" spans="2:7" x14ac:dyDescent="0.25">
      <c r="B4" s="6"/>
      <c r="C4" s="7" t="s">
        <v>47</v>
      </c>
      <c r="D4" s="26"/>
      <c r="E4" s="6"/>
      <c r="F4" s="49" t="str">
        <f>C4</f>
        <v>NGN</v>
      </c>
      <c r="G4" s="15"/>
    </row>
    <row r="5" spans="2:7" x14ac:dyDescent="0.25">
      <c r="B5" s="6"/>
      <c r="C5" s="7" t="s">
        <v>2</v>
      </c>
      <c r="D5" s="8"/>
      <c r="E5" s="9"/>
      <c r="F5" s="10" t="s">
        <v>11</v>
      </c>
      <c r="G5" s="11"/>
    </row>
    <row r="6" spans="2:7" x14ac:dyDescent="0.25">
      <c r="B6" s="12" t="s">
        <v>53</v>
      </c>
      <c r="C6" s="68">
        <v>400</v>
      </c>
      <c r="D6" s="13"/>
      <c r="E6" s="6" t="s">
        <v>12</v>
      </c>
      <c r="F6" s="14">
        <f>C9*F28</f>
        <v>382628571.4285714</v>
      </c>
      <c r="G6" s="15"/>
    </row>
    <row r="7" spans="2:7" x14ac:dyDescent="0.25">
      <c r="B7" s="12" t="s">
        <v>48</v>
      </c>
      <c r="C7" s="23">
        <f>C6/1.05*0.05</f>
        <v>19.047619047619047</v>
      </c>
      <c r="D7" s="13"/>
      <c r="E7" s="6" t="s">
        <v>0</v>
      </c>
      <c r="F7" s="16">
        <f>ROUND((C26*F28+F26)/10000,0)*10000</f>
        <v>305530000</v>
      </c>
      <c r="G7" s="15"/>
    </row>
    <row r="8" spans="2:7" x14ac:dyDescent="0.25">
      <c r="B8" s="12" t="s">
        <v>54</v>
      </c>
      <c r="C8" s="23">
        <f>(C6-C7)*7%</f>
        <v>26.666666666666671</v>
      </c>
      <c r="D8" s="13"/>
      <c r="E8" s="17" t="s">
        <v>13</v>
      </c>
      <c r="F8" s="18">
        <f>ROUND((F6-F7)/10000,0)*10000</f>
        <v>77100000</v>
      </c>
      <c r="G8" s="60">
        <f>F8/450</f>
        <v>171333.33333333334</v>
      </c>
    </row>
    <row r="9" spans="2:7" x14ac:dyDescent="0.25">
      <c r="B9" s="17" t="s">
        <v>14</v>
      </c>
      <c r="C9" s="28">
        <f>C6-C8-C7</f>
        <v>354.28571428571428</v>
      </c>
      <c r="D9" s="13"/>
      <c r="E9" s="19" t="s">
        <v>15</v>
      </c>
      <c r="F9" s="20">
        <f>F8/F6</f>
        <v>0.20150089605734769</v>
      </c>
      <c r="G9" s="21"/>
    </row>
    <row r="10" spans="2:7" x14ac:dyDescent="0.25">
      <c r="B10" s="3"/>
      <c r="C10" s="22"/>
      <c r="D10" s="5"/>
      <c r="E10" s="3"/>
      <c r="F10" s="4"/>
      <c r="G10" s="5"/>
    </row>
    <row r="11" spans="2:7" x14ac:dyDescent="0.25">
      <c r="B11" s="12" t="s">
        <v>16</v>
      </c>
      <c r="C11" s="23">
        <f>12500/50</f>
        <v>250</v>
      </c>
      <c r="D11" s="15"/>
      <c r="E11" s="12" t="s">
        <v>51</v>
      </c>
      <c r="F11" s="68">
        <f>100000*450</f>
        <v>45000000</v>
      </c>
      <c r="G11" s="15"/>
    </row>
    <row r="12" spans="2:7" x14ac:dyDescent="0.25">
      <c r="B12" s="6" t="s">
        <v>17</v>
      </c>
      <c r="C12" s="55">
        <v>0.65</v>
      </c>
      <c r="D12" s="15"/>
      <c r="E12" s="6" t="s">
        <v>18</v>
      </c>
      <c r="F12" s="24">
        <v>7.0000000000000007E-2</v>
      </c>
      <c r="G12" s="15"/>
    </row>
    <row r="13" spans="2:7" x14ac:dyDescent="0.25">
      <c r="B13" s="6" t="s">
        <v>19</v>
      </c>
      <c r="C13" s="14">
        <f>C11*C12</f>
        <v>162.5</v>
      </c>
      <c r="D13" s="25">
        <f>C13/$C$26</f>
        <v>0.58395154155039808</v>
      </c>
      <c r="E13" s="17" t="s">
        <v>8</v>
      </c>
      <c r="F13" s="18">
        <f>F11*F12</f>
        <v>3150000.0000000005</v>
      </c>
      <c r="G13" s="25">
        <f>F13/$F$24</f>
        <v>0.12614506682685089</v>
      </c>
    </row>
    <row r="14" spans="2:7" x14ac:dyDescent="0.25">
      <c r="B14" s="12" t="s">
        <v>20</v>
      </c>
      <c r="C14" s="23">
        <f>40*1.5</f>
        <v>60</v>
      </c>
      <c r="D14" s="25">
        <f>C14/$C$26</f>
        <v>0.21561287688014699</v>
      </c>
      <c r="E14" s="6"/>
      <c r="F14" s="26"/>
      <c r="G14" s="25"/>
    </row>
    <row r="15" spans="2:7" x14ac:dyDescent="0.25">
      <c r="B15" s="17" t="s">
        <v>21</v>
      </c>
      <c r="C15" s="28">
        <f>C13+C14</f>
        <v>222.5</v>
      </c>
      <c r="D15" s="25">
        <f>C15/$C$26</f>
        <v>0.79956441843054504</v>
      </c>
      <c r="E15" s="6" t="s">
        <v>52</v>
      </c>
      <c r="F15" s="23">
        <f>85%*F11</f>
        <v>38250000</v>
      </c>
      <c r="G15" s="25"/>
    </row>
    <row r="16" spans="2:7" x14ac:dyDescent="0.25">
      <c r="B16" s="6"/>
      <c r="C16" s="14"/>
      <c r="D16" s="15"/>
      <c r="E16" s="6" t="s">
        <v>22</v>
      </c>
      <c r="F16" s="24">
        <v>4.4999999999999998E-2</v>
      </c>
      <c r="G16" s="15"/>
    </row>
    <row r="17" spans="2:7" x14ac:dyDescent="0.25">
      <c r="B17" s="6" t="s">
        <v>50</v>
      </c>
      <c r="C17" s="61">
        <f>3.6*180*2+80*35</f>
        <v>4096</v>
      </c>
      <c r="D17" s="27"/>
      <c r="E17" s="17" t="s">
        <v>9</v>
      </c>
      <c r="F17" s="18">
        <f>F15*F16</f>
        <v>1721250</v>
      </c>
      <c r="G17" s="25">
        <f>F17/$F$24</f>
        <v>6.8929268658957807E-2</v>
      </c>
    </row>
    <row r="18" spans="2:7" x14ac:dyDescent="0.25">
      <c r="B18" s="12" t="s">
        <v>23</v>
      </c>
      <c r="C18" s="23">
        <f>F34*80%</f>
        <v>158.4</v>
      </c>
      <c r="D18" s="15"/>
      <c r="E18" s="6"/>
      <c r="F18" s="26"/>
      <c r="G18" s="15"/>
    </row>
    <row r="19" spans="2:7" x14ac:dyDescent="0.25">
      <c r="B19" s="17" t="s">
        <v>24</v>
      </c>
      <c r="C19" s="28">
        <f>C17/C18</f>
        <v>25.858585858585858</v>
      </c>
      <c r="D19" s="25">
        <f>C19/$C$26</f>
        <v>9.2924068150366371E-2</v>
      </c>
      <c r="E19" s="6" t="s">
        <v>25</v>
      </c>
      <c r="F19" s="23">
        <v>10</v>
      </c>
      <c r="G19" s="25"/>
    </row>
    <row r="20" spans="2:7" x14ac:dyDescent="0.25">
      <c r="B20" s="17"/>
      <c r="C20" s="28"/>
      <c r="D20" s="25"/>
      <c r="E20" s="6" t="s">
        <v>26</v>
      </c>
      <c r="F20" s="23">
        <f>(75000*12*F19)</f>
        <v>9000000</v>
      </c>
      <c r="G20" s="25">
        <f>F20/$F$24</f>
        <v>0.36041447664814535</v>
      </c>
    </row>
    <row r="21" spans="2:7" x14ac:dyDescent="0.25">
      <c r="B21" s="12" t="s">
        <v>49</v>
      </c>
      <c r="C21" s="58">
        <f>(7+0+3)*1.5</f>
        <v>15</v>
      </c>
      <c r="D21" s="15"/>
      <c r="E21" s="6" t="s">
        <v>27</v>
      </c>
      <c r="F21" s="36">
        <f>8%*F11+7500000</f>
        <v>11100000</v>
      </c>
      <c r="G21" s="25">
        <f>F21/$F$24</f>
        <v>0.44451118786604593</v>
      </c>
    </row>
    <row r="22" spans="2:7" x14ac:dyDescent="0.25">
      <c r="B22" s="12" t="s">
        <v>28</v>
      </c>
      <c r="C22" s="57">
        <f>1/0.9</f>
        <v>1.1111111111111112</v>
      </c>
      <c r="D22" s="15"/>
      <c r="E22" s="17" t="s">
        <v>10</v>
      </c>
      <c r="F22" s="28">
        <f>SUM(F20:F21)</f>
        <v>20100000</v>
      </c>
      <c r="G22" s="25">
        <f>F22/$F$24</f>
        <v>0.80492566451419134</v>
      </c>
    </row>
    <row r="23" spans="2:7" x14ac:dyDescent="0.25">
      <c r="B23" s="17" t="s">
        <v>29</v>
      </c>
      <c r="C23" s="43">
        <f>C21*C22</f>
        <v>16.666666666666668</v>
      </c>
      <c r="D23" s="25">
        <f>C23/$C$26</f>
        <v>5.9892465800040831E-2</v>
      </c>
      <c r="E23" s="6"/>
      <c r="F23" s="26"/>
      <c r="G23" s="15"/>
    </row>
    <row r="24" spans="2:7" x14ac:dyDescent="0.25">
      <c r="B24" s="17"/>
      <c r="C24" s="29"/>
      <c r="D24" s="25"/>
      <c r="E24" s="17" t="s">
        <v>6</v>
      </c>
      <c r="F24" s="28">
        <f>F13+F17+F22</f>
        <v>24971250</v>
      </c>
      <c r="G24" s="25">
        <f>F24/$F$24</f>
        <v>1</v>
      </c>
    </row>
    <row r="25" spans="2:7" x14ac:dyDescent="0.25">
      <c r="B25" s="6" t="s">
        <v>46</v>
      </c>
      <c r="C25" s="24">
        <v>0.05</v>
      </c>
      <c r="D25" s="15"/>
      <c r="E25" s="6" t="s">
        <v>30</v>
      </c>
      <c r="F25" s="59">
        <v>0.2</v>
      </c>
      <c r="G25" s="15"/>
    </row>
    <row r="26" spans="2:7" x14ac:dyDescent="0.25">
      <c r="B26" s="30" t="s">
        <v>3</v>
      </c>
      <c r="C26" s="44">
        <f>(C15+C19+C23)*(1+C25)</f>
        <v>278.27651515151518</v>
      </c>
      <c r="D26" s="31">
        <f>C26/$C$26</f>
        <v>1</v>
      </c>
      <c r="E26" s="30" t="s">
        <v>31</v>
      </c>
      <c r="F26" s="32">
        <f>F24*F25</f>
        <v>4994250</v>
      </c>
      <c r="G26" s="31"/>
    </row>
    <row r="27" spans="2:7" x14ac:dyDescent="0.25">
      <c r="B27" s="3"/>
      <c r="C27" s="33"/>
      <c r="D27" s="4"/>
      <c r="E27" s="3"/>
      <c r="F27" s="4"/>
      <c r="G27" s="5"/>
    </row>
    <row r="28" spans="2:7" x14ac:dyDescent="0.25">
      <c r="B28" s="17" t="s">
        <v>4</v>
      </c>
      <c r="C28" s="45">
        <f>C9-C26</f>
        <v>76.009199134199093</v>
      </c>
      <c r="D28" s="26"/>
      <c r="E28" s="6" t="s">
        <v>32</v>
      </c>
      <c r="F28" s="69">
        <f>G28*0.9*F36</f>
        <v>1080000</v>
      </c>
      <c r="G28" s="70">
        <v>4000</v>
      </c>
    </row>
    <row r="29" spans="2:7" x14ac:dyDescent="0.25">
      <c r="B29" s="12" t="s">
        <v>5</v>
      </c>
      <c r="C29" s="1">
        <f>C28/C9</f>
        <v>0.21454209433040067</v>
      </c>
      <c r="D29" s="26"/>
      <c r="E29" s="17" t="s">
        <v>7</v>
      </c>
      <c r="F29" s="28">
        <f>C28*F28</f>
        <v>82089935.064935014</v>
      </c>
      <c r="G29" s="63"/>
    </row>
    <row r="30" spans="2:7" x14ac:dyDescent="0.25">
      <c r="B30" s="6"/>
      <c r="C30" s="46"/>
      <c r="D30" s="26"/>
      <c r="E30" s="17"/>
      <c r="F30" s="28"/>
      <c r="G30" s="63"/>
    </row>
    <row r="31" spans="2:7" x14ac:dyDescent="0.25">
      <c r="B31" s="6" t="s">
        <v>33</v>
      </c>
      <c r="C31" s="47">
        <f>C26</f>
        <v>278.27651515151518</v>
      </c>
      <c r="D31" s="35">
        <f>C31/C34</f>
        <v>0.98365396910479874</v>
      </c>
      <c r="E31" s="17" t="s">
        <v>34</v>
      </c>
      <c r="F31" s="18">
        <f>F26/C28</f>
        <v>65705.862670416158</v>
      </c>
      <c r="G31" s="63">
        <f>F31/0.9/300</f>
        <v>243.35504692746724</v>
      </c>
    </row>
    <row r="32" spans="2:7" x14ac:dyDescent="0.25">
      <c r="B32" s="12" t="s">
        <v>35</v>
      </c>
      <c r="C32" s="48">
        <f>F26/F28</f>
        <v>4.6243055555555559</v>
      </c>
      <c r="D32" s="25">
        <f>C32/$C$34</f>
        <v>1.6346030895201206E-2</v>
      </c>
      <c r="E32" s="6" t="s">
        <v>36</v>
      </c>
      <c r="F32" s="16">
        <f>F31*C12</f>
        <v>42708.810735770501</v>
      </c>
      <c r="G32" s="63"/>
    </row>
    <row r="33" spans="2:7" x14ac:dyDescent="0.25">
      <c r="B33" s="6"/>
      <c r="C33" s="47"/>
      <c r="D33" s="15"/>
      <c r="E33" s="6"/>
      <c r="F33" s="26"/>
      <c r="G33" s="64"/>
    </row>
    <row r="34" spans="2:7" x14ac:dyDescent="0.25">
      <c r="B34" s="17" t="s">
        <v>37</v>
      </c>
      <c r="C34" s="45">
        <f>C26+C32</f>
        <v>282.90082070707075</v>
      </c>
      <c r="D34" s="25">
        <f>C34/$C$34</f>
        <v>1</v>
      </c>
      <c r="E34" s="6" t="s">
        <v>38</v>
      </c>
      <c r="F34" s="62">
        <f>G34*0.9</f>
        <v>198</v>
      </c>
      <c r="G34" s="66">
        <v>220</v>
      </c>
    </row>
    <row r="35" spans="2:7" x14ac:dyDescent="0.25">
      <c r="B35" s="6"/>
      <c r="C35" s="47"/>
      <c r="D35" s="15"/>
      <c r="E35" s="6" t="s">
        <v>39</v>
      </c>
      <c r="F35" s="23">
        <v>20</v>
      </c>
      <c r="G35" s="25"/>
    </row>
    <row r="36" spans="2:7" x14ac:dyDescent="0.25">
      <c r="B36" s="17" t="s">
        <v>40</v>
      </c>
      <c r="C36" s="45">
        <f>C9-C34</f>
        <v>71.384893578643528</v>
      </c>
      <c r="D36" s="25">
        <f>C36/C34</f>
        <v>0.2523318716440166</v>
      </c>
      <c r="E36" s="6" t="s">
        <v>41</v>
      </c>
      <c r="F36" s="23">
        <v>300</v>
      </c>
      <c r="G36" s="15"/>
    </row>
    <row r="37" spans="2:7" x14ac:dyDescent="0.25">
      <c r="B37" s="6"/>
      <c r="C37" s="26"/>
      <c r="D37" s="15"/>
      <c r="E37" s="17" t="s">
        <v>42</v>
      </c>
      <c r="F37" s="28">
        <f>ROUND(F34*F35*F36/1000,0)*1000</f>
        <v>1188000</v>
      </c>
      <c r="G37" s="65">
        <f>F37/0.9</f>
        <v>1320000</v>
      </c>
    </row>
    <row r="38" spans="2:7" x14ac:dyDescent="0.25">
      <c r="B38" s="19"/>
      <c r="C38" s="37"/>
      <c r="D38" s="21"/>
      <c r="E38" s="19" t="s">
        <v>43</v>
      </c>
      <c r="F38" s="38">
        <f>F28/F37</f>
        <v>0.90909090909090906</v>
      </c>
      <c r="G38" s="21"/>
    </row>
    <row r="39" spans="2:7" hidden="1" x14ac:dyDescent="0.25">
      <c r="B39" s="3"/>
      <c r="C39" s="4"/>
      <c r="D39" s="4"/>
      <c r="E39" s="39" t="s">
        <v>44</v>
      </c>
      <c r="F39" s="40">
        <f>F8/F11</f>
        <v>1.7133333333333334</v>
      </c>
      <c r="G39" s="5"/>
    </row>
    <row r="40" spans="2:7" hidden="1" x14ac:dyDescent="0.25">
      <c r="B40" s="6"/>
      <c r="C40" s="26"/>
      <c r="D40" s="26"/>
      <c r="E40" s="41" t="s">
        <v>1</v>
      </c>
      <c r="F40" s="34">
        <f>F8/(F11-F15)</f>
        <v>11.422222222222222</v>
      </c>
      <c r="G40" s="15"/>
    </row>
    <row r="41" spans="2:7" hidden="1" x14ac:dyDescent="0.25">
      <c r="B41" s="42" t="s">
        <v>45</v>
      </c>
      <c r="C41" s="37"/>
      <c r="D41" s="37"/>
      <c r="E41" s="37"/>
      <c r="F41" s="37"/>
      <c r="G41" s="21"/>
    </row>
  </sheetData>
  <conditionalFormatting sqref="F38">
    <cfRule type="cellIs" dxfId="8" priority="7" stopIfTrue="1" operator="lessThanOrEqual">
      <formula>0.55</formula>
    </cfRule>
    <cfRule type="cellIs" dxfId="7" priority="8" stopIfTrue="1" operator="between">
      <formula>0.55</formula>
      <formula>0.7499999999</formula>
    </cfRule>
    <cfRule type="cellIs" dxfId="6" priority="9" stopIfTrue="1" operator="greaterThanOrEqual">
      <formula>0.75</formula>
    </cfRule>
  </conditionalFormatting>
  <conditionalFormatting sqref="F9">
    <cfRule type="cellIs" dxfId="5" priority="4" stopIfTrue="1" operator="lessThan">
      <formula>0</formula>
    </cfRule>
    <cfRule type="cellIs" dxfId="4" priority="5" stopIfTrue="1" operator="between">
      <formula>0</formula>
      <formula>0.15</formula>
    </cfRule>
    <cfRule type="cellIs" dxfId="3" priority="6" stopIfTrue="1" operator="greaterThanOrEqual">
      <formula>0.15</formula>
    </cfRule>
  </conditionalFormatting>
  <conditionalFormatting sqref="C29">
    <cfRule type="cellIs" dxfId="2" priority="1" stopIfTrue="1" operator="lessThan">
      <formula>0.15</formula>
    </cfRule>
    <cfRule type="cellIs" dxfId="1" priority="2" stopIfTrue="1" operator="between">
      <formula>0.15</formula>
      <formula>0.3</formula>
    </cfRule>
    <cfRule type="cellIs" dxfId="0" priority="3" stopIfTrue="1" operator="greaterThanOrEqual">
      <formula>0.3</formula>
    </cfRule>
  </conditionalFormatting>
  <pageMargins left="0.75" right="0.75" top="1" bottom="1" header="0.5" footer="0.5"/>
  <pageSetup paperSize="9" orientation="portrait" verticalDpi="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CB1 (Bread)</vt:lpstr>
      <vt:lpstr>'CB1 (Bread)'!ROE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van Lieshout</dc:creator>
  <cp:lastModifiedBy>olivier van lieshout</cp:lastModifiedBy>
  <dcterms:created xsi:type="dcterms:W3CDTF">2014-03-17T17:09:02Z</dcterms:created>
  <dcterms:modified xsi:type="dcterms:W3CDTF">2016-10-26T08:25:08Z</dcterms:modified>
</cp:coreProperties>
</file>