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035" windowHeight="9090"/>
  </bookViews>
  <sheets>
    <sheet name="Goudse 150g (4801)" sheetId="2" r:id="rId1"/>
    <sheet name="Goudse 150g (4800)" sheetId="1" r:id="rId2"/>
  </sheets>
  <definedNames>
    <definedName name="ROE" localSheetId="1">'Goudse 150g (4800)'!$L$2</definedName>
    <definedName name="ROE" localSheetId="0">'Goudse 150g (4801)'!$L$2</definedName>
    <definedName name="ROE">#REF!</definedName>
  </definedNames>
  <calcPr calcId="124519"/>
</workbook>
</file>

<file path=xl/calcChain.xml><?xml version="1.0" encoding="utf-8"?>
<calcChain xmlns="http://schemas.openxmlformats.org/spreadsheetml/2006/main">
  <c r="H18" i="2"/>
  <c r="H19"/>
  <c r="H15"/>
  <c r="H14"/>
  <c r="D22"/>
  <c r="D21"/>
  <c r="D17"/>
  <c r="D16"/>
  <c r="O8"/>
  <c r="O16"/>
  <c r="D13"/>
  <c r="D11"/>
  <c r="D10"/>
  <c r="D7"/>
  <c r="D6"/>
  <c r="N27"/>
  <c r="P24"/>
  <c r="P23"/>
  <c r="P22"/>
  <c r="P21"/>
  <c r="D23"/>
  <c r="P20"/>
  <c r="P19"/>
  <c r="P27" s="1"/>
  <c r="O27" s="1"/>
  <c r="H21"/>
  <c r="H34"/>
  <c r="H37" s="1"/>
  <c r="H38" s="1"/>
  <c r="N16"/>
  <c r="D18"/>
  <c r="P15"/>
  <c r="P14"/>
  <c r="H16"/>
  <c r="P13"/>
  <c r="P12"/>
  <c r="H12"/>
  <c r="H23" s="1"/>
  <c r="P11"/>
  <c r="P10"/>
  <c r="P9"/>
  <c r="D12"/>
  <c r="D8"/>
  <c r="H3"/>
  <c r="H38" i="1"/>
  <c r="H5" i="2" l="1"/>
  <c r="D14"/>
  <c r="H26"/>
  <c r="I23"/>
  <c r="I20"/>
  <c r="I16"/>
  <c r="I21"/>
  <c r="P8"/>
  <c r="I12"/>
  <c r="I19"/>
  <c r="H32" i="1"/>
  <c r="D10"/>
  <c r="D6"/>
  <c r="H19"/>
  <c r="D22"/>
  <c r="D21"/>
  <c r="D17"/>
  <c r="D16"/>
  <c r="D13"/>
  <c r="D11"/>
  <c r="H3"/>
  <c r="D8"/>
  <c r="H5"/>
  <c r="D12"/>
  <c r="D14"/>
  <c r="D18"/>
  <c r="D23"/>
  <c r="D26"/>
  <c r="H12"/>
  <c r="H14"/>
  <c r="H16"/>
  <c r="H21"/>
  <c r="H23"/>
  <c r="H26"/>
  <c r="H6"/>
  <c r="H7"/>
  <c r="H8"/>
  <c r="O8"/>
  <c r="P8"/>
  <c r="P9"/>
  <c r="P10"/>
  <c r="P11"/>
  <c r="E12"/>
  <c r="I12"/>
  <c r="P12"/>
  <c r="E13"/>
  <c r="P13"/>
  <c r="E14"/>
  <c r="P14"/>
  <c r="P15"/>
  <c r="I16"/>
  <c r="N16"/>
  <c r="P16"/>
  <c r="Q8"/>
  <c r="Q16"/>
  <c r="E18"/>
  <c r="I19"/>
  <c r="P19"/>
  <c r="I20"/>
  <c r="P20"/>
  <c r="I21"/>
  <c r="P21"/>
  <c r="P22"/>
  <c r="E23"/>
  <c r="I23"/>
  <c r="P23"/>
  <c r="P24"/>
  <c r="E26"/>
  <c r="N27"/>
  <c r="P27"/>
  <c r="O27"/>
  <c r="D28"/>
  <c r="D29"/>
  <c r="H29"/>
  <c r="D31"/>
  <c r="D33"/>
  <c r="D35"/>
  <c r="E31"/>
  <c r="H31"/>
  <c r="E33"/>
  <c r="H34"/>
  <c r="E35"/>
  <c r="D37"/>
  <c r="H37"/>
  <c r="Q15"/>
  <c r="Q14"/>
  <c r="Q13"/>
  <c r="Q12"/>
  <c r="Q11"/>
  <c r="Q10"/>
  <c r="Q9"/>
  <c r="P16" i="2" l="1"/>
  <c r="Q8"/>
  <c r="D33"/>
  <c r="D26"/>
  <c r="E14"/>
  <c r="D35" l="1"/>
  <c r="D31"/>
  <c r="E31" s="1"/>
  <c r="E26"/>
  <c r="H6"/>
  <c r="H7" s="1"/>
  <c r="H8" s="1"/>
  <c r="D28"/>
  <c r="E12"/>
  <c r="E13"/>
  <c r="E18"/>
  <c r="E23"/>
  <c r="Q16"/>
  <c r="Q9"/>
  <c r="Q10"/>
  <c r="Q11"/>
  <c r="Q12"/>
  <c r="Q13"/>
  <c r="Q14"/>
  <c r="Q15"/>
  <c r="E33"/>
  <c r="H29" l="1"/>
  <c r="D29"/>
  <c r="H31"/>
  <c r="H32" s="1"/>
  <c r="E35"/>
  <c r="D37"/>
</calcChain>
</file>

<file path=xl/comments1.xml><?xml version="1.0" encoding="utf-8"?>
<comments xmlns="http://schemas.openxmlformats.org/spreadsheetml/2006/main">
  <authors>
    <author>Olivier van Lieshout</author>
    <author>gestel</author>
    <author>Olivier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Sea container €3700 door-to-door 9,18 ton + 12% import duties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gestel:</t>
        </r>
        <r>
          <rPr>
            <sz val="9"/>
            <color indexed="81"/>
            <rFont val="Tahoma"/>
            <family val="2"/>
          </rPr>
          <t xml:space="preserve">
10 jaar levensduur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FCMP + water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Batch cost €1.25
batch time: 7 minutes</t>
        </r>
      </text>
    </comment>
    <comment ref="D17" authorId="2">
      <text>
        <r>
          <rPr>
            <b/>
            <sz val="9"/>
            <color indexed="81"/>
            <rFont val="Tahoma"/>
            <family val="2"/>
          </rPr>
          <t>Olivier:</t>
        </r>
        <r>
          <rPr>
            <sz val="9"/>
            <color indexed="81"/>
            <rFont val="Tahoma"/>
            <family val="2"/>
          </rPr>
          <t xml:space="preserve">
FILLING TIME 1.5 MINUTES
+ 7 MINUTES BATCH TIME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2% packaging material losses</t>
        </r>
      </text>
    </comment>
  </commentList>
</comments>
</file>

<file path=xl/comments2.xml><?xml version="1.0" encoding="utf-8"?>
<comments xmlns="http://schemas.openxmlformats.org/spreadsheetml/2006/main">
  <authors>
    <author>Olivier van Lieshout</author>
    <author>gestel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Sea container €3700 door-to-door 9,18 ton + 12% import duties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gestel:</t>
        </r>
        <r>
          <rPr>
            <sz val="9"/>
            <color indexed="81"/>
            <rFont val="Tahoma"/>
            <family val="2"/>
          </rPr>
          <t xml:space="preserve">
10 jaar levensduur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FCMP + water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Batch cost €1.25
batch time: 7 minutes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2% packaging material losses</t>
        </r>
      </text>
    </comment>
  </commentList>
</comments>
</file>

<file path=xl/sharedStrings.xml><?xml version="1.0" encoding="utf-8"?>
<sst xmlns="http://schemas.openxmlformats.org/spreadsheetml/2006/main" count="252" uniqueCount="120">
  <si>
    <t>per ton</t>
  </si>
  <si>
    <t>per year</t>
  </si>
  <si>
    <t>Price (Retail price, delivered)</t>
  </si>
  <si>
    <t>Цена (DDU Москва)</t>
  </si>
  <si>
    <t>Total Revenue</t>
  </si>
  <si>
    <t>Общая выручка</t>
  </si>
  <si>
    <t>Total Cost</t>
  </si>
  <si>
    <t>Общие издержки</t>
  </si>
  <si>
    <t>Транспортировка (114$/тон) и комиссия, 3%</t>
  </si>
  <si>
    <t>Profit Before Tax</t>
  </si>
  <si>
    <t>Прибыль до уплаты налогов</t>
  </si>
  <si>
    <t>Ingredient</t>
  </si>
  <si>
    <t>Recipe</t>
  </si>
  <si>
    <t>Cost per Kg</t>
  </si>
  <si>
    <t>Cost in batch</t>
  </si>
  <si>
    <t>%</t>
  </si>
  <si>
    <t>Price (EXW)</t>
  </si>
  <si>
    <t>Цена (EXW)</t>
  </si>
  <si>
    <t>Profitability %</t>
  </si>
  <si>
    <t>Коэффициент (%) рентабельности</t>
  </si>
  <si>
    <t>CDLF Instant Gouda Flavor</t>
  </si>
  <si>
    <t>Base powder FCMP (DDP)</t>
  </si>
  <si>
    <t>Price (Gouda CDLF, DDP factory)</t>
  </si>
  <si>
    <t>Цена (сырье, с доставкой)</t>
  </si>
  <si>
    <t>Asset value</t>
  </si>
  <si>
    <t>Стоимость осн.средств</t>
  </si>
  <si>
    <t>Water</t>
  </si>
  <si>
    <t>Processing ratio</t>
  </si>
  <si>
    <t>Коэффициент переработки</t>
  </si>
  <si>
    <t>Depreciation %</t>
  </si>
  <si>
    <t>Амортизация %</t>
  </si>
  <si>
    <t>Raw Material cost</t>
  </si>
  <si>
    <t>Стоимость сырья</t>
  </si>
  <si>
    <t>FC1</t>
  </si>
  <si>
    <t>Other ingredients, DDP factory</t>
  </si>
  <si>
    <t>Другие ингредиенты</t>
  </si>
  <si>
    <t>VC1</t>
  </si>
  <si>
    <t>Debt (40% of Asset value)</t>
  </si>
  <si>
    <t>Долг</t>
  </si>
  <si>
    <t>Interest rate</t>
  </si>
  <si>
    <t>Процентная ставка</t>
  </si>
  <si>
    <t>Production cost per hour (gas, electricity)</t>
  </si>
  <si>
    <t>Производственные расходы в час</t>
  </si>
  <si>
    <t>FC2</t>
  </si>
  <si>
    <t>BATCH</t>
  </si>
  <si>
    <t>Production volume per hour (ton/hour)</t>
  </si>
  <si>
    <t>Объем производства в час</t>
  </si>
  <si>
    <t>VC2</t>
  </si>
  <si>
    <t>Number of FTE (8hr/day) employed</t>
  </si>
  <si>
    <t>Количество сотрудников (эквив.полн.з.)</t>
  </si>
  <si>
    <t>Investment</t>
  </si>
  <si>
    <t>Price EUR</t>
  </si>
  <si>
    <t>Depreciation</t>
  </si>
  <si>
    <t>Salaries staff incl. social taxes</t>
  </si>
  <si>
    <t>З/пл. штатных сотр-в + соц. отчисления</t>
  </si>
  <si>
    <t>Mix &amp; smelt unit</t>
  </si>
  <si>
    <t>Other overhead, repairs, maintenance</t>
  </si>
  <si>
    <t>Другие накладные расходы</t>
  </si>
  <si>
    <t>Inline homogeniser</t>
  </si>
  <si>
    <t>Cost of packing (cup, seal, label, box)</t>
  </si>
  <si>
    <t>Стоимость единицы упаковки</t>
  </si>
  <si>
    <t>FC3</t>
  </si>
  <si>
    <t>UHT pasterurizer</t>
  </si>
  <si>
    <t>Number of bags per ton</t>
  </si>
  <si>
    <t>Кол-во единиц упаковки на тонну</t>
  </si>
  <si>
    <t>Cup filler (4800/hr)</t>
  </si>
  <si>
    <t>VC3</t>
  </si>
  <si>
    <t>FC</t>
  </si>
  <si>
    <t>FC (общие постоянные затраты)</t>
  </si>
  <si>
    <t>Utilities</t>
  </si>
  <si>
    <t>FC % attributed to product</t>
  </si>
  <si>
    <t>FC %, отнесенные к продукту</t>
  </si>
  <si>
    <t>Building</t>
  </si>
  <si>
    <t>FG losses %</t>
  </si>
  <si>
    <t>VC</t>
  </si>
  <si>
    <t>VC (общие переменные затраты)</t>
  </si>
  <si>
    <t>FC (attributed to product)</t>
  </si>
  <si>
    <t>FC (отнесенные к продукту)</t>
  </si>
  <si>
    <t>Gross margin</t>
  </si>
  <si>
    <t>Валовая маржа (валовая прибыль)</t>
  </si>
  <si>
    <t>Volume sold q (ton)</t>
  </si>
  <si>
    <t>Объем продаж q</t>
  </si>
  <si>
    <t>Gross margin %</t>
  </si>
  <si>
    <t>Коэффициент (%) валовой маржи</t>
  </si>
  <si>
    <t>Contribution</t>
  </si>
  <si>
    <t>Контрибуция/вклад</t>
  </si>
  <si>
    <t>Variable cost</t>
  </si>
  <si>
    <t>Break even volume (sales)</t>
  </si>
  <si>
    <t>Точка безубыточности (по продажам)</t>
  </si>
  <si>
    <t>Break even volume (raw material)</t>
  </si>
  <si>
    <t>Точка безубыточности (по сырью)</t>
  </si>
  <si>
    <t>Fixed Cost / q</t>
  </si>
  <si>
    <t>FC / q</t>
  </si>
  <si>
    <t>Output capacity per hour in ton</t>
  </si>
  <si>
    <t>Мощность в час (в тоннах)</t>
  </si>
  <si>
    <t>Total Cost / q</t>
  </si>
  <si>
    <t>TC / q</t>
  </si>
  <si>
    <t>Operating hours per day</t>
  </si>
  <si>
    <t>Кол-во рабочих часов в день</t>
  </si>
  <si>
    <t>Working days per year</t>
  </si>
  <si>
    <t>Длина сезона в днях</t>
  </si>
  <si>
    <t>Profit / q</t>
  </si>
  <si>
    <t>Прибыль / q</t>
  </si>
  <si>
    <t>Max. output capacity per year</t>
  </si>
  <si>
    <t>Максимальная мощность в год</t>
  </si>
  <si>
    <t>Capacity utilization %</t>
  </si>
  <si>
    <t>Загрузка (использование) мощностей %</t>
  </si>
  <si>
    <r>
      <t xml:space="preserve">Note: figures in </t>
    </r>
    <r>
      <rPr>
        <b/>
        <i/>
        <sz val="10"/>
        <color indexed="12"/>
        <rFont val="Arial"/>
        <family val="2"/>
      </rPr>
      <t>blue</t>
    </r>
    <r>
      <rPr>
        <i/>
        <sz val="10"/>
        <rFont val="Arial"/>
        <family val="2"/>
      </rPr>
      <t xml:space="preserve"> are assumptions; figures in </t>
    </r>
    <r>
      <rPr>
        <b/>
        <i/>
        <sz val="10"/>
        <color indexed="14"/>
        <rFont val="Arial"/>
        <family val="2"/>
      </rPr>
      <t>pink</t>
    </r>
    <r>
      <rPr>
        <i/>
        <sz val="10"/>
        <rFont val="Arial"/>
        <family val="2"/>
      </rPr>
      <t xml:space="preserve"> are calculated in another sheet; figures in </t>
    </r>
    <r>
      <rPr>
        <b/>
        <i/>
        <sz val="10"/>
        <rFont val="Arial"/>
        <family val="2"/>
      </rPr>
      <t>black</t>
    </r>
    <r>
      <rPr>
        <i/>
        <sz val="10"/>
        <rFont val="Arial"/>
        <family val="2"/>
      </rPr>
      <t xml:space="preserve"> are formulas</t>
    </r>
  </si>
  <si>
    <r>
      <t xml:space="preserve">Заметка: цифры </t>
    </r>
    <r>
      <rPr>
        <b/>
        <i/>
        <sz val="10"/>
        <color indexed="12"/>
        <rFont val="Arial"/>
        <family val="2"/>
        <charset val="204"/>
      </rPr>
      <t>синим</t>
    </r>
    <r>
      <rPr>
        <i/>
        <sz val="10"/>
        <rFont val="Arial"/>
        <family val="2"/>
      </rPr>
      <t xml:space="preserve">-допущения; цифры </t>
    </r>
    <r>
      <rPr>
        <b/>
        <i/>
        <sz val="10"/>
        <color indexed="14"/>
        <rFont val="Arial"/>
        <family val="2"/>
        <charset val="204"/>
      </rPr>
      <t>розовым</t>
    </r>
    <r>
      <rPr>
        <i/>
        <sz val="10"/>
        <rFont val="Arial"/>
        <family val="2"/>
      </rPr>
      <t xml:space="preserve">-рассчитаны на другом листе, цифры </t>
    </r>
    <r>
      <rPr>
        <b/>
        <i/>
        <sz val="10"/>
        <color indexed="8"/>
        <rFont val="Arial"/>
        <family val="2"/>
        <charset val="204"/>
      </rPr>
      <t>черным</t>
    </r>
    <r>
      <rPr>
        <i/>
        <sz val="10"/>
        <rFont val="Arial"/>
        <family val="2"/>
      </rPr>
      <t xml:space="preserve"> -формулы</t>
    </r>
  </si>
  <si>
    <t>This Cigar Box is a real company case. See www.cdlf.nl</t>
  </si>
  <si>
    <t>VC4 Transport cost</t>
  </si>
  <si>
    <t>EUR</t>
  </si>
  <si>
    <t>VAT 15%</t>
  </si>
  <si>
    <t>% потерь ГП</t>
  </si>
  <si>
    <t>CB1 - Gouda Melted Cheese, (sterilized 4800 cups/hour) in cups of 150gr, 12 per carton box (1.8 kg)</t>
  </si>
  <si>
    <t>Импортные пошлины, 15%</t>
  </si>
  <si>
    <t>CB1 - plavlennyi sir Gouda po 150 gr na chashku, 12 na kartonnyi yahshik (1.8 kg)</t>
  </si>
  <si>
    <t>Цена (Delivered Magazin)</t>
  </si>
  <si>
    <t>NDS, 18%</t>
  </si>
  <si>
    <t>Транспортировка (TJS 10000/14 tons)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</si>
</sst>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[$SAR]\ #,##0.00"/>
    <numFmt numFmtId="168" formatCode="0.0\ &quot;kg&quot;"/>
    <numFmt numFmtId="169" formatCode="0.00\ &quot;kg&quot;"/>
    <numFmt numFmtId="170" formatCode="[$IRR]\ #,##0"/>
    <numFmt numFmtId="171" formatCode="_-* #,##0.00_-;\-* #,##0.00_-;_-* &quot;-&quot;_-;_-@_-"/>
    <numFmt numFmtId="172" formatCode="_-* #,##0.000_-;\-* #,##0.000_-;_-* &quot;-&quot;_-;_-@_-"/>
  </numFmts>
  <fonts count="3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14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  <charset val="204"/>
    </font>
    <font>
      <b/>
      <i/>
      <sz val="10"/>
      <color indexed="14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0" fillId="24" borderId="11" xfId="0" applyFill="1" applyBorder="1"/>
    <xf numFmtId="17" fontId="0" fillId="24" borderId="12" xfId="0" applyNumberFormat="1" applyFill="1" applyBorder="1"/>
    <xf numFmtId="0" fontId="0" fillId="25" borderId="0" xfId="0" applyFill="1"/>
    <xf numFmtId="0" fontId="21" fillId="25" borderId="0" xfId="0" applyFont="1" applyFill="1"/>
    <xf numFmtId="0" fontId="0" fillId="26" borderId="13" xfId="0" applyFill="1" applyBorder="1"/>
    <xf numFmtId="164" fontId="20" fillId="26" borderId="14" xfId="28" applyNumberFormat="1" applyFont="1" applyFill="1" applyBorder="1" applyAlignment="1">
      <alignment horizontal="center"/>
    </xf>
    <xf numFmtId="0" fontId="0" fillId="26" borderId="14" xfId="0" applyFill="1" applyBorder="1"/>
    <xf numFmtId="164" fontId="20" fillId="26" borderId="14" xfId="0" applyNumberFormat="1" applyFont="1" applyFill="1" applyBorder="1" applyAlignment="1">
      <alignment horizontal="center"/>
    </xf>
    <xf numFmtId="0" fontId="0" fillId="26" borderId="15" xfId="0" applyFill="1" applyBorder="1"/>
    <xf numFmtId="0" fontId="0" fillId="26" borderId="16" xfId="0" applyFill="1" applyBorder="1"/>
    <xf numFmtId="164" fontId="20" fillId="26" borderId="0" xfId="28" applyNumberFormat="1" applyFont="1" applyFill="1" applyBorder="1" applyAlignment="1">
      <alignment horizontal="center"/>
    </xf>
    <xf numFmtId="0" fontId="20" fillId="26" borderId="0" xfId="0" applyFont="1" applyFill="1" applyBorder="1" applyAlignment="1">
      <alignment horizontal="center"/>
    </xf>
    <xf numFmtId="0" fontId="20" fillId="26" borderId="16" xfId="0" applyFont="1" applyFill="1" applyBorder="1" applyAlignment="1">
      <alignment horizontal="center"/>
    </xf>
    <xf numFmtId="0" fontId="20" fillId="26" borderId="0" xfId="0" applyFont="1" applyFill="1" applyAlignment="1">
      <alignment horizontal="center"/>
    </xf>
    <xf numFmtId="0" fontId="20" fillId="26" borderId="17" xfId="0" applyFont="1" applyFill="1" applyBorder="1" applyAlignment="1">
      <alignment horizontal="center"/>
    </xf>
    <xf numFmtId="164" fontId="21" fillId="0" borderId="18" xfId="28" applyNumberFormat="1" applyFont="1" applyFill="1" applyBorder="1"/>
    <xf numFmtId="9" fontId="22" fillId="26" borderId="0" xfId="41" applyFont="1" applyFill="1" applyBorder="1" applyAlignment="1">
      <alignment horizontal="left"/>
    </xf>
    <xf numFmtId="164" fontId="6" fillId="26" borderId="0" xfId="28" applyNumberFormat="1" applyFill="1" applyBorder="1"/>
    <xf numFmtId="0" fontId="0" fillId="26" borderId="17" xfId="0" applyFill="1" applyBorder="1"/>
    <xf numFmtId="0" fontId="6" fillId="25" borderId="0" xfId="0" applyFont="1" applyFill="1"/>
    <xf numFmtId="164" fontId="21" fillId="26" borderId="18" xfId="28" applyNumberFormat="1" applyFont="1" applyFill="1" applyBorder="1"/>
    <xf numFmtId="164" fontId="0" fillId="26" borderId="0" xfId="0" applyNumberFormat="1" applyFill="1" applyBorder="1"/>
    <xf numFmtId="0" fontId="20" fillId="26" borderId="16" xfId="0" applyFont="1" applyFill="1" applyBorder="1"/>
    <xf numFmtId="164" fontId="20" fillId="26" borderId="0" xfId="0" applyNumberFormat="1" applyFont="1" applyFill="1" applyBorder="1"/>
    <xf numFmtId="0" fontId="23" fillId="27" borderId="13" xfId="0" applyFont="1" applyFill="1" applyBorder="1" applyAlignment="1">
      <alignment horizontal="center" vertical="center"/>
    </xf>
    <xf numFmtId="0" fontId="23" fillId="27" borderId="14" xfId="0" applyFont="1" applyFill="1" applyBorder="1" applyAlignment="1"/>
    <xf numFmtId="167" fontId="23" fillId="27" borderId="14" xfId="0" applyNumberFormat="1" applyFont="1" applyFill="1" applyBorder="1" applyAlignment="1">
      <alignment horizontal="center" vertical="center"/>
    </xf>
    <xf numFmtId="167" fontId="23" fillId="27" borderId="15" xfId="0" applyNumberFormat="1" applyFont="1" applyFill="1" applyBorder="1" applyAlignment="1">
      <alignment horizontal="center" vertical="center"/>
    </xf>
    <xf numFmtId="164" fontId="20" fillId="26" borderId="0" xfId="28" applyNumberFormat="1" applyFont="1" applyFill="1" applyBorder="1"/>
    <xf numFmtId="0" fontId="0" fillId="26" borderId="19" xfId="0" applyFill="1" applyBorder="1"/>
    <xf numFmtId="9" fontId="6" fillId="26" borderId="20" xfId="41" applyFill="1" applyBorder="1"/>
    <xf numFmtId="0" fontId="0" fillId="26" borderId="21" xfId="0" applyFill="1" applyBorder="1"/>
    <xf numFmtId="0" fontId="23" fillId="27" borderId="16" xfId="0" applyFont="1" applyFill="1" applyBorder="1" applyAlignment="1">
      <alignment horizontal="center" vertical="center"/>
    </xf>
    <xf numFmtId="0" fontId="6" fillId="27" borderId="0" xfId="0" applyNumberFormat="1" applyFont="1" applyFill="1" applyBorder="1" applyAlignment="1">
      <alignment horizontal="left" vertical="center"/>
    </xf>
    <xf numFmtId="168" fontId="21" fillId="27" borderId="0" xfId="0" applyNumberFormat="1" applyFont="1" applyFill="1" applyBorder="1" applyAlignment="1">
      <alignment horizontal="right" vertical="center"/>
    </xf>
    <xf numFmtId="171" fontId="21" fillId="27" borderId="0" xfId="29" applyNumberFormat="1" applyFont="1" applyFill="1" applyBorder="1" applyAlignment="1">
      <alignment horizontal="right" vertical="center"/>
    </xf>
    <xf numFmtId="171" fontId="6" fillId="27" borderId="0" xfId="29" applyNumberFormat="1" applyFont="1" applyFill="1" applyBorder="1" applyAlignment="1">
      <alignment horizontal="right" vertical="center"/>
    </xf>
    <xf numFmtId="165" fontId="6" fillId="27" borderId="17" xfId="41" applyNumberFormat="1" applyFont="1" applyFill="1" applyBorder="1" applyAlignment="1">
      <alignment horizontal="right" vertical="center"/>
    </xf>
    <xf numFmtId="164" fontId="6" fillId="26" borderId="14" xfId="28" applyNumberFormat="1" applyFill="1" applyBorder="1"/>
    <xf numFmtId="0" fontId="0" fillId="26" borderId="0" xfId="0" applyFill="1" applyBorder="1"/>
    <xf numFmtId="0" fontId="6" fillId="27" borderId="0" xfId="0" applyFont="1" applyFill="1" applyBorder="1" applyAlignment="1">
      <alignment horizontal="left" vertical="center"/>
    </xf>
    <xf numFmtId="41" fontId="21" fillId="26" borderId="18" xfId="29" applyFont="1" applyFill="1" applyBorder="1"/>
    <xf numFmtId="2" fontId="21" fillId="26" borderId="18" xfId="0" applyNumberFormat="1" applyFont="1" applyFill="1" applyBorder="1"/>
    <xf numFmtId="165" fontId="21" fillId="26" borderId="18" xfId="0" applyNumberFormat="1" applyFont="1" applyFill="1" applyBorder="1"/>
    <xf numFmtId="9" fontId="22" fillId="26" borderId="0" xfId="41" applyNumberFormat="1" applyFont="1" applyFill="1" applyBorder="1" applyAlignment="1">
      <alignment horizontal="left"/>
    </xf>
    <xf numFmtId="9" fontId="22" fillId="26" borderId="17" xfId="41" applyNumberFormat="1" applyFont="1" applyFill="1" applyBorder="1" applyAlignment="1">
      <alignment horizontal="left"/>
    </xf>
    <xf numFmtId="169" fontId="21" fillId="27" borderId="0" xfId="0" applyNumberFormat="1" applyFont="1" applyFill="1" applyBorder="1" applyAlignment="1">
      <alignment horizontal="right" vertical="center"/>
    </xf>
    <xf numFmtId="41" fontId="21" fillId="27" borderId="0" xfId="29" applyFont="1" applyFill="1" applyBorder="1" applyAlignment="1">
      <alignment horizontal="right" vertical="center"/>
    </xf>
    <xf numFmtId="43" fontId="21" fillId="26" borderId="18" xfId="28" applyNumberFormat="1" applyFont="1" applyFill="1" applyBorder="1"/>
    <xf numFmtId="166" fontId="21" fillId="26" borderId="0" xfId="0" applyNumberFormat="1" applyFont="1" applyFill="1" applyBorder="1"/>
    <xf numFmtId="0" fontId="23" fillId="27" borderId="19" xfId="0" applyFont="1" applyFill="1" applyBorder="1" applyAlignment="1">
      <alignment horizontal="center" vertical="center"/>
    </xf>
    <xf numFmtId="0" fontId="23" fillId="27" borderId="20" xfId="0" applyFont="1" applyFill="1" applyBorder="1" applyAlignment="1">
      <alignment horizontal="center" vertical="center"/>
    </xf>
    <xf numFmtId="169" fontId="23" fillId="27" borderId="20" xfId="0" applyNumberFormat="1" applyFont="1" applyFill="1" applyBorder="1" applyAlignment="1">
      <alignment horizontal="right" vertical="center"/>
    </xf>
    <xf numFmtId="170" fontId="6" fillId="27" borderId="20" xfId="0" applyNumberFormat="1" applyFont="1" applyFill="1" applyBorder="1" applyAlignment="1">
      <alignment horizontal="right" vertical="center"/>
    </xf>
    <xf numFmtId="171" fontId="23" fillId="27" borderId="20" xfId="29" applyNumberFormat="1" applyFont="1" applyFill="1" applyBorder="1" applyAlignment="1">
      <alignment horizontal="right" vertical="center"/>
    </xf>
    <xf numFmtId="165" fontId="23" fillId="27" borderId="21" xfId="41" applyNumberFormat="1" applyFont="1" applyFill="1" applyBorder="1" applyAlignment="1">
      <alignment horizontal="right" vertical="center"/>
    </xf>
    <xf numFmtId="0" fontId="6" fillId="25" borderId="0" xfId="0" applyFont="1" applyFill="1" applyAlignment="1"/>
    <xf numFmtId="165" fontId="22" fillId="26" borderId="0" xfId="41" applyNumberFormat="1" applyFont="1" applyFill="1" applyBorder="1" applyAlignment="1">
      <alignment horizontal="left"/>
    </xf>
    <xf numFmtId="0" fontId="0" fillId="0" borderId="16" xfId="0" applyFill="1" applyBorder="1"/>
    <xf numFmtId="0" fontId="23" fillId="28" borderId="13" xfId="0" applyFont="1" applyFill="1" applyBorder="1" applyAlignment="1">
      <alignment horizontal="center" vertical="center"/>
    </xf>
    <xf numFmtId="0" fontId="23" fillId="28" borderId="14" xfId="0" applyFont="1" applyFill="1" applyBorder="1" applyAlignment="1"/>
    <xf numFmtId="0" fontId="23" fillId="28" borderId="14" xfId="0" applyFont="1" applyFill="1" applyBorder="1" applyAlignment="1">
      <alignment horizontal="center"/>
    </xf>
    <xf numFmtId="0" fontId="23" fillId="28" borderId="15" xfId="0" applyFont="1" applyFill="1" applyBorder="1" applyAlignment="1"/>
    <xf numFmtId="0" fontId="24" fillId="26" borderId="16" xfId="0" applyFont="1" applyFill="1" applyBorder="1"/>
    <xf numFmtId="0" fontId="23" fillId="28" borderId="16" xfId="0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>
      <alignment horizontal="left" vertical="center"/>
    </xf>
    <xf numFmtId="41" fontId="21" fillId="28" borderId="0" xfId="29" applyFont="1" applyFill="1" applyBorder="1" applyAlignment="1">
      <alignment horizontal="right" vertical="center"/>
    </xf>
    <xf numFmtId="9" fontId="21" fillId="28" borderId="0" xfId="29" applyNumberFormat="1" applyFont="1" applyFill="1" applyBorder="1" applyAlignment="1">
      <alignment horizontal="right" vertical="center"/>
    </xf>
    <xf numFmtId="41" fontId="6" fillId="28" borderId="17" xfId="29" applyNumberFormat="1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left" vertical="center"/>
    </xf>
    <xf numFmtId="4" fontId="21" fillId="26" borderId="18" xfId="0" applyNumberFormat="1" applyFont="1" applyFill="1" applyBorder="1"/>
    <xf numFmtId="1" fontId="21" fillId="26" borderId="18" xfId="0" applyNumberFormat="1" applyFont="1" applyFill="1" applyBorder="1"/>
    <xf numFmtId="164" fontId="20" fillId="26" borderId="0" xfId="28" applyNumberFormat="1" applyFont="1" applyFill="1" applyBorder="1" applyAlignment="1">
      <alignment horizontal="left" indent="1"/>
    </xf>
    <xf numFmtId="165" fontId="25" fillId="26" borderId="18" xfId="0" applyNumberFormat="1" applyFont="1" applyFill="1" applyBorder="1"/>
    <xf numFmtId="165" fontId="25" fillId="26" borderId="0" xfId="0" applyNumberFormat="1" applyFont="1" applyFill="1" applyBorder="1"/>
    <xf numFmtId="0" fontId="6" fillId="28" borderId="17" xfId="0" applyFont="1" applyFill="1" applyBorder="1" applyAlignment="1"/>
    <xf numFmtId="0" fontId="20" fillId="26" borderId="19" xfId="0" applyFont="1" applyFill="1" applyBorder="1"/>
    <xf numFmtId="0" fontId="20" fillId="0" borderId="19" xfId="0" applyFont="1" applyFill="1" applyBorder="1"/>
    <xf numFmtId="164" fontId="20" fillId="26" borderId="20" xfId="28" applyNumberFormat="1" applyFont="1" applyFill="1" applyBorder="1"/>
    <xf numFmtId="9" fontId="22" fillId="26" borderId="20" xfId="41" applyNumberFormat="1" applyFont="1" applyFill="1" applyBorder="1" applyAlignment="1">
      <alignment horizontal="left"/>
    </xf>
    <xf numFmtId="0" fontId="23" fillId="28" borderId="19" xfId="0" applyFont="1" applyFill="1" applyBorder="1" applyAlignment="1">
      <alignment horizontal="center" vertical="center"/>
    </xf>
    <xf numFmtId="0" fontId="23" fillId="28" borderId="20" xfId="0" applyFont="1" applyFill="1" applyBorder="1" applyAlignment="1">
      <alignment horizontal="center" vertical="center"/>
    </xf>
    <xf numFmtId="41" fontId="23" fillId="28" borderId="20" xfId="29" applyFont="1" applyFill="1" applyBorder="1" applyAlignment="1">
      <alignment horizontal="right" vertical="center"/>
    </xf>
    <xf numFmtId="165" fontId="23" fillId="28" borderId="20" xfId="41" applyNumberFormat="1" applyFont="1" applyFill="1" applyBorder="1" applyAlignment="1">
      <alignment horizontal="right" vertical="center"/>
    </xf>
    <xf numFmtId="41" fontId="23" fillId="28" borderId="21" xfId="29" applyFont="1" applyFill="1" applyBorder="1" applyAlignment="1">
      <alignment horizontal="right" vertical="center"/>
    </xf>
    <xf numFmtId="0" fontId="0" fillId="25" borderId="0" xfId="0" applyFill="1" applyAlignment="1"/>
    <xf numFmtId="9" fontId="6" fillId="26" borderId="0" xfId="41" applyFill="1" applyBorder="1"/>
    <xf numFmtId="0" fontId="20" fillId="0" borderId="16" xfId="0" applyFont="1" applyFill="1" applyBorder="1"/>
    <xf numFmtId="0" fontId="0" fillId="26" borderId="0" xfId="0" applyFill="1"/>
    <xf numFmtId="43" fontId="6" fillId="26" borderId="18" xfId="28" applyNumberFormat="1" applyFont="1" applyFill="1" applyBorder="1"/>
    <xf numFmtId="0" fontId="21" fillId="26" borderId="18" xfId="0" applyFont="1" applyFill="1" applyBorder="1"/>
    <xf numFmtId="0" fontId="0" fillId="26" borderId="20" xfId="0" applyFill="1" applyBorder="1"/>
    <xf numFmtId="165" fontId="6" fillId="26" borderId="20" xfId="41" applyNumberFormat="1" applyFill="1" applyBorder="1"/>
    <xf numFmtId="0" fontId="22" fillId="26" borderId="19" xfId="0" applyFont="1" applyFill="1" applyBorder="1"/>
    <xf numFmtId="0" fontId="22" fillId="26" borderId="10" xfId="0" applyFont="1" applyFill="1" applyBorder="1"/>
    <xf numFmtId="0" fontId="22" fillId="26" borderId="0" xfId="0" applyFont="1" applyFill="1"/>
    <xf numFmtId="0" fontId="0" fillId="0" borderId="16" xfId="0" applyBorder="1"/>
    <xf numFmtId="0" fontId="20" fillId="29" borderId="10" xfId="0" applyFont="1" applyFill="1" applyBorder="1"/>
    <xf numFmtId="164" fontId="6" fillId="29" borderId="12" xfId="28" applyNumberFormat="1" applyFill="1" applyBorder="1"/>
    <xf numFmtId="0" fontId="0" fillId="29" borderId="11" xfId="0" applyFill="1" applyBorder="1"/>
    <xf numFmtId="0" fontId="0" fillId="29" borderId="12" xfId="0" applyFill="1" applyBorder="1"/>
    <xf numFmtId="0" fontId="6" fillId="26" borderId="16" xfId="0" applyFont="1" applyFill="1" applyBorder="1"/>
    <xf numFmtId="172" fontId="23" fillId="27" borderId="20" xfId="29" applyNumberFormat="1" applyFont="1" applyFill="1" applyBorder="1" applyAlignment="1">
      <alignment horizontal="right" vertical="center"/>
    </xf>
    <xf numFmtId="9" fontId="25" fillId="26" borderId="18" xfId="0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" xfId="29" builtinId="6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27</xdr:row>
      <xdr:rowOff>114300</xdr:rowOff>
    </xdr:from>
    <xdr:to>
      <xdr:col>14</xdr:col>
      <xdr:colOff>428625</xdr:colOff>
      <xdr:row>33</xdr:row>
      <xdr:rowOff>95250</xdr:rowOff>
    </xdr:to>
    <xdr:pic>
      <xdr:nvPicPr>
        <xdr:cNvPr id="2" name="Picture 6" descr="CDLF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53575" y="4486275"/>
          <a:ext cx="20002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27</xdr:row>
      <xdr:rowOff>114300</xdr:rowOff>
    </xdr:from>
    <xdr:to>
      <xdr:col>14</xdr:col>
      <xdr:colOff>428625</xdr:colOff>
      <xdr:row>33</xdr:row>
      <xdr:rowOff>95250</xdr:rowOff>
    </xdr:to>
    <xdr:pic>
      <xdr:nvPicPr>
        <xdr:cNvPr id="1037" name="Picture 6" descr="CDLF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3050" y="4486275"/>
          <a:ext cx="18954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S39"/>
  <sheetViews>
    <sheetView tabSelected="1" zoomScale="90" zoomScaleNormal="90" workbookViewId="0">
      <pane ySplit="2" topLeftCell="A3" activePane="bottomLeft" state="frozen"/>
      <selection pane="bottomLeft" activeCell="L2" sqref="L2"/>
    </sheetView>
  </sheetViews>
  <sheetFormatPr defaultRowHeight="12.75"/>
  <cols>
    <col min="1" max="1" width="2.140625" style="3" customWidth="1"/>
    <col min="2" max="2" width="22.42578125" style="3" hidden="1" customWidth="1"/>
    <col min="3" max="3" width="44.85546875" style="3" customWidth="1"/>
    <col min="4" max="4" width="8.7109375" style="3" bestFit="1" customWidth="1"/>
    <col min="5" max="5" width="6.85546875" style="3" customWidth="1"/>
    <col min="6" max="6" width="38.85546875" style="3" hidden="1" customWidth="1"/>
    <col min="7" max="7" width="39.140625" style="3" bestFit="1" customWidth="1"/>
    <col min="8" max="8" width="12.5703125" style="3" customWidth="1"/>
    <col min="9" max="9" width="6.42578125" style="3" customWidth="1"/>
    <col min="10" max="10" width="2.42578125" style="3" customWidth="1"/>
    <col min="11" max="11" width="1.85546875" style="3" customWidth="1"/>
    <col min="12" max="12" width="5.28515625" style="3" bestFit="1" customWidth="1"/>
    <col min="13" max="13" width="25" style="3" bestFit="1" customWidth="1"/>
    <col min="14" max="14" width="11.5703125" style="3" customWidth="1"/>
    <col min="15" max="15" width="11.5703125" style="3" bestFit="1" customWidth="1"/>
    <col min="16" max="16" width="12.85546875" style="3" bestFit="1" customWidth="1"/>
    <col min="17" max="17" width="7.42578125" style="3" bestFit="1" customWidth="1"/>
    <col min="18" max="18" width="2" style="3" customWidth="1"/>
    <col min="19" max="19" width="5" style="3" customWidth="1"/>
    <col min="20" max="16384" width="9.140625" style="3"/>
  </cols>
  <sheetData>
    <row r="2" spans="2:19">
      <c r="B2" s="98" t="s">
        <v>114</v>
      </c>
      <c r="C2" s="98" t="s">
        <v>116</v>
      </c>
      <c r="D2" s="99"/>
      <c r="E2" s="100"/>
      <c r="F2" s="101"/>
      <c r="G2" s="101"/>
      <c r="H2" s="2">
        <v>41005</v>
      </c>
      <c r="I2" s="1"/>
      <c r="M2" s="4"/>
    </row>
    <row r="3" spans="2:19">
      <c r="B3" s="5"/>
      <c r="C3" s="5"/>
      <c r="D3" s="6" t="s">
        <v>111</v>
      </c>
      <c r="E3" s="7"/>
      <c r="F3" s="5"/>
      <c r="G3" s="5"/>
      <c r="H3" s="8" t="str">
        <f>D3</f>
        <v>EUR</v>
      </c>
      <c r="I3" s="9"/>
      <c r="M3" s="4"/>
    </row>
    <row r="4" spans="2:19">
      <c r="B4" s="10"/>
      <c r="C4" s="10"/>
      <c r="D4" s="11" t="s">
        <v>0</v>
      </c>
      <c r="E4" s="12"/>
      <c r="F4" s="13"/>
      <c r="G4" s="13"/>
      <c r="H4" s="14" t="s">
        <v>1</v>
      </c>
      <c r="I4" s="15"/>
    </row>
    <row r="5" spans="2:19">
      <c r="B5" s="10" t="s">
        <v>2</v>
      </c>
      <c r="C5" s="102" t="s">
        <v>117</v>
      </c>
      <c r="D5" s="16">
        <v>5800</v>
      </c>
      <c r="E5" s="17"/>
      <c r="F5" s="10" t="s">
        <v>4</v>
      </c>
      <c r="G5" s="10" t="s">
        <v>5</v>
      </c>
      <c r="H5" s="18">
        <f>D8*H28</f>
        <v>10458484.953303356</v>
      </c>
      <c r="I5" s="19"/>
      <c r="L5" s="20"/>
      <c r="M5" s="20"/>
      <c r="N5" s="20"/>
      <c r="O5" s="20"/>
      <c r="P5" s="20"/>
      <c r="Q5" s="20"/>
      <c r="R5" s="20"/>
      <c r="S5" s="20"/>
    </row>
    <row r="6" spans="2:19">
      <c r="B6" s="10" t="s">
        <v>112</v>
      </c>
      <c r="C6" s="102" t="s">
        <v>118</v>
      </c>
      <c r="D6" s="21">
        <f>D5/1.18*0.18</f>
        <v>884.74576271186447</v>
      </c>
      <c r="E6" s="17"/>
      <c r="F6" s="10" t="s">
        <v>6</v>
      </c>
      <c r="G6" s="10" t="s">
        <v>7</v>
      </c>
      <c r="H6" s="22">
        <f>D26*H28+H26</f>
        <v>9540743.744076455</v>
      </c>
      <c r="I6" s="19"/>
      <c r="L6" s="20"/>
      <c r="M6" s="20"/>
      <c r="N6" s="20"/>
      <c r="O6" s="20"/>
      <c r="P6" s="20"/>
      <c r="Q6" s="20"/>
      <c r="R6" s="20"/>
      <c r="S6" s="20"/>
    </row>
    <row r="7" spans="2:19">
      <c r="B7" s="10" t="s">
        <v>110</v>
      </c>
      <c r="C7" s="102" t="s">
        <v>119</v>
      </c>
      <c r="D7" s="21">
        <f>10000/14/6.3</f>
        <v>113.37868480725625</v>
      </c>
      <c r="E7" s="17"/>
      <c r="F7" s="23" t="s">
        <v>9</v>
      </c>
      <c r="G7" s="23" t="s">
        <v>10</v>
      </c>
      <c r="H7" s="24">
        <f>H5-H6</f>
        <v>917741.20922690071</v>
      </c>
      <c r="I7" s="19"/>
      <c r="L7" s="25"/>
      <c r="M7" s="26" t="s">
        <v>11</v>
      </c>
      <c r="N7" s="26" t="s">
        <v>12</v>
      </c>
      <c r="O7" s="27" t="s">
        <v>13</v>
      </c>
      <c r="P7" s="27" t="s">
        <v>14</v>
      </c>
      <c r="Q7" s="28" t="s">
        <v>15</v>
      </c>
      <c r="R7" s="20"/>
      <c r="S7" s="20"/>
    </row>
    <row r="8" spans="2:19">
      <c r="B8" s="23" t="s">
        <v>16</v>
      </c>
      <c r="C8" s="23" t="s">
        <v>17</v>
      </c>
      <c r="D8" s="29">
        <f>D5-D7-D6</f>
        <v>4801.8755524808794</v>
      </c>
      <c r="E8" s="17"/>
      <c r="F8" s="30" t="s">
        <v>18</v>
      </c>
      <c r="G8" s="30" t="s">
        <v>19</v>
      </c>
      <c r="H8" s="31">
        <f>H7/H5</f>
        <v>8.7750875325113734E-2</v>
      </c>
      <c r="I8" s="32"/>
      <c r="L8" s="33">
        <v>1</v>
      </c>
      <c r="M8" s="34" t="s">
        <v>20</v>
      </c>
      <c r="N8" s="35">
        <v>5.5</v>
      </c>
      <c r="O8" s="36">
        <f>(14+3700/9180)*1.12</f>
        <v>16.13141612200436</v>
      </c>
      <c r="P8" s="37">
        <f t="shared" ref="P8:P15" si="0">N8*O8</f>
        <v>88.722788671023977</v>
      </c>
      <c r="Q8" s="38">
        <f t="shared" ref="Q8:Q16" si="1">P8/$P$16</f>
        <v>0.47892822185030576</v>
      </c>
      <c r="R8" s="20"/>
      <c r="S8" s="20"/>
    </row>
    <row r="9" spans="2:19">
      <c r="B9" s="5"/>
      <c r="C9" s="5"/>
      <c r="D9" s="39"/>
      <c r="E9" s="7"/>
      <c r="F9" s="10"/>
      <c r="G9" s="10"/>
      <c r="H9" s="40"/>
      <c r="I9" s="19"/>
      <c r="L9" s="33">
        <v>2</v>
      </c>
      <c r="M9" s="41" t="s">
        <v>21</v>
      </c>
      <c r="N9" s="35">
        <v>20</v>
      </c>
      <c r="O9" s="36">
        <v>4.75</v>
      </c>
      <c r="P9" s="37">
        <f t="shared" si="0"/>
        <v>95</v>
      </c>
      <c r="Q9" s="38">
        <f t="shared" si="1"/>
        <v>0.51281279316503625</v>
      </c>
      <c r="R9" s="20"/>
      <c r="S9" s="20"/>
    </row>
    <row r="10" spans="2:19">
      <c r="B10" s="10" t="s">
        <v>22</v>
      </c>
      <c r="C10" s="10" t="s">
        <v>23</v>
      </c>
      <c r="D10" s="42">
        <f>O8*1000</f>
        <v>16131.416122004361</v>
      </c>
      <c r="E10" s="40"/>
      <c r="F10" s="10" t="s">
        <v>24</v>
      </c>
      <c r="G10" s="10" t="s">
        <v>25</v>
      </c>
      <c r="H10" s="21">
        <v>625000</v>
      </c>
      <c r="I10" s="19"/>
      <c r="L10" s="33">
        <v>3</v>
      </c>
      <c r="M10" s="41" t="s">
        <v>26</v>
      </c>
      <c r="N10" s="35">
        <v>30.6</v>
      </c>
      <c r="O10" s="36">
        <v>0.05</v>
      </c>
      <c r="P10" s="37">
        <f t="shared" si="0"/>
        <v>1.5300000000000002</v>
      </c>
      <c r="Q10" s="38">
        <f t="shared" si="1"/>
        <v>8.2589849846579546E-3</v>
      </c>
      <c r="R10" s="20"/>
      <c r="S10" s="20"/>
    </row>
    <row r="11" spans="2:19">
      <c r="B11" s="10" t="s">
        <v>27</v>
      </c>
      <c r="C11" s="10" t="s">
        <v>28</v>
      </c>
      <c r="D11" s="43">
        <f>N8/N16</f>
        <v>9.8039215686274508E-2</v>
      </c>
      <c r="E11" s="40"/>
      <c r="F11" s="10" t="s">
        <v>29</v>
      </c>
      <c r="G11" s="10" t="s">
        <v>30</v>
      </c>
      <c r="H11" s="44">
        <v>0.08</v>
      </c>
      <c r="I11" s="19"/>
      <c r="L11" s="33">
        <v>4</v>
      </c>
      <c r="M11" s="41"/>
      <c r="N11" s="35"/>
      <c r="O11" s="36"/>
      <c r="P11" s="37">
        <f t="shared" si="0"/>
        <v>0</v>
      </c>
      <c r="Q11" s="38">
        <f t="shared" si="1"/>
        <v>0</v>
      </c>
      <c r="R11" s="20"/>
      <c r="S11" s="20"/>
    </row>
    <row r="12" spans="2:19">
      <c r="B12" s="10" t="s">
        <v>31</v>
      </c>
      <c r="C12" s="10" t="s">
        <v>32</v>
      </c>
      <c r="D12" s="18">
        <f>D10*D11</f>
        <v>1581.5113845102314</v>
      </c>
      <c r="E12" s="45">
        <f>D12/$D$26</f>
        <v>0.36659625937661106</v>
      </c>
      <c r="F12" s="23" t="s">
        <v>33</v>
      </c>
      <c r="G12" s="23" t="s">
        <v>33</v>
      </c>
      <c r="H12" s="24">
        <f>H10*H11</f>
        <v>50000</v>
      </c>
      <c r="I12" s="46">
        <f>H12/$H$23</f>
        <v>0.34539473684210525</v>
      </c>
      <c r="L12" s="33">
        <v>5</v>
      </c>
      <c r="M12" s="41"/>
      <c r="N12" s="35"/>
      <c r="O12" s="36"/>
      <c r="P12" s="37">
        <f t="shared" si="0"/>
        <v>0</v>
      </c>
      <c r="Q12" s="38">
        <f t="shared" si="1"/>
        <v>0</v>
      </c>
      <c r="R12" s="20"/>
      <c r="S12" s="20"/>
    </row>
    <row r="13" spans="2:19">
      <c r="B13" s="10" t="s">
        <v>34</v>
      </c>
      <c r="C13" s="10" t="s">
        <v>35</v>
      </c>
      <c r="D13" s="42">
        <f>(P9+P10)/N16*1000</f>
        <v>1720.6773618538325</v>
      </c>
      <c r="E13" s="45">
        <f>D13/$D$26</f>
        <v>0.39885510191567614</v>
      </c>
      <c r="F13" s="10"/>
      <c r="G13" s="10"/>
      <c r="H13" s="40"/>
      <c r="I13" s="46"/>
      <c r="L13" s="33">
        <v>6</v>
      </c>
      <c r="M13" s="41"/>
      <c r="N13" s="35"/>
      <c r="O13" s="36"/>
      <c r="P13" s="37">
        <f t="shared" si="0"/>
        <v>0</v>
      </c>
      <c r="Q13" s="38">
        <f t="shared" si="1"/>
        <v>0</v>
      </c>
      <c r="R13" s="20"/>
      <c r="S13" s="20"/>
    </row>
    <row r="14" spans="2:19">
      <c r="B14" s="23" t="s">
        <v>36</v>
      </c>
      <c r="C14" s="23" t="s">
        <v>36</v>
      </c>
      <c r="D14" s="29">
        <f>D12+D13</f>
        <v>3302.1887463640642</v>
      </c>
      <c r="E14" s="45">
        <f>D14/$D$26</f>
        <v>0.7654513612922873</v>
      </c>
      <c r="F14" s="10" t="s">
        <v>37</v>
      </c>
      <c r="G14" s="10" t="s">
        <v>38</v>
      </c>
      <c r="H14" s="21">
        <f>40%*H10</f>
        <v>250000</v>
      </c>
      <c r="I14" s="46"/>
      <c r="L14" s="33">
        <v>7</v>
      </c>
      <c r="M14" s="41"/>
      <c r="N14" s="35"/>
      <c r="O14" s="36"/>
      <c r="P14" s="37">
        <f t="shared" si="0"/>
        <v>0</v>
      </c>
      <c r="Q14" s="38">
        <f t="shared" si="1"/>
        <v>0</v>
      </c>
      <c r="R14" s="20"/>
      <c r="S14" s="20"/>
    </row>
    <row r="15" spans="2:19">
      <c r="B15" s="10"/>
      <c r="C15" s="10"/>
      <c r="D15" s="18"/>
      <c r="E15" s="40"/>
      <c r="F15" s="10" t="s">
        <v>39</v>
      </c>
      <c r="G15" s="10" t="s">
        <v>40</v>
      </c>
      <c r="H15" s="44">
        <f>24%/2</f>
        <v>0.12</v>
      </c>
      <c r="I15" s="19"/>
      <c r="L15" s="33">
        <v>8</v>
      </c>
      <c r="M15" s="41"/>
      <c r="N15" s="47"/>
      <c r="O15" s="48"/>
      <c r="P15" s="37">
        <f t="shared" si="0"/>
        <v>0</v>
      </c>
      <c r="Q15" s="38">
        <f t="shared" si="1"/>
        <v>0</v>
      </c>
      <c r="R15" s="20"/>
      <c r="S15" s="20"/>
    </row>
    <row r="16" spans="2:19">
      <c r="B16" s="10" t="s">
        <v>41</v>
      </c>
      <c r="C16" s="10" t="s">
        <v>42</v>
      </c>
      <c r="D16" s="49">
        <f>1.25*60/7</f>
        <v>10.714285714285714</v>
      </c>
      <c r="E16" s="50"/>
      <c r="F16" s="23" t="s">
        <v>43</v>
      </c>
      <c r="G16" s="23" t="s">
        <v>43</v>
      </c>
      <c r="H16" s="24">
        <f>H14*H15</f>
        <v>30000</v>
      </c>
      <c r="I16" s="46">
        <f>H16/$H$23</f>
        <v>0.20723684210526316</v>
      </c>
      <c r="L16" s="51"/>
      <c r="M16" s="52" t="s">
        <v>44</v>
      </c>
      <c r="N16" s="53">
        <f>SUM(N8:N15)</f>
        <v>56.1</v>
      </c>
      <c r="O16" s="103">
        <f>P16/N16</f>
        <v>3.3021887463640636</v>
      </c>
      <c r="P16" s="55">
        <f>SUM(P8:P15)</f>
        <v>185.25278867102398</v>
      </c>
      <c r="Q16" s="56">
        <f t="shared" si="1"/>
        <v>1</v>
      </c>
      <c r="R16" s="20"/>
      <c r="S16" s="20"/>
    </row>
    <row r="17" spans="2:19">
      <c r="B17" s="10" t="s">
        <v>45</v>
      </c>
      <c r="C17" s="10" t="s">
        <v>46</v>
      </c>
      <c r="D17" s="43">
        <f>56.1/1000*60/(7+1.5)</f>
        <v>0.39600000000000002</v>
      </c>
      <c r="E17" s="40"/>
      <c r="F17" s="10"/>
      <c r="G17" s="10"/>
      <c r="H17" s="40"/>
      <c r="I17" s="19"/>
      <c r="L17" s="57"/>
      <c r="M17" s="57"/>
      <c r="N17" s="57"/>
      <c r="O17" s="57"/>
      <c r="P17" s="57"/>
      <c r="Q17" s="57"/>
      <c r="R17" s="20"/>
      <c r="S17" s="20"/>
    </row>
    <row r="18" spans="2:19">
      <c r="B18" s="23" t="s">
        <v>47</v>
      </c>
      <c r="C18" s="23" t="s">
        <v>47</v>
      </c>
      <c r="D18" s="29">
        <f>D16/D17</f>
        <v>27.056277056277054</v>
      </c>
      <c r="E18" s="58">
        <f>D18/$D$26</f>
        <v>6.2716778763878865E-3</v>
      </c>
      <c r="F18" s="10" t="s">
        <v>48</v>
      </c>
      <c r="G18" s="59" t="s">
        <v>49</v>
      </c>
      <c r="H18" s="21">
        <f>6+6+6+7</f>
        <v>25</v>
      </c>
      <c r="I18" s="46"/>
      <c r="L18" s="60"/>
      <c r="M18" s="61" t="s">
        <v>50</v>
      </c>
      <c r="N18" s="61" t="s">
        <v>51</v>
      </c>
      <c r="O18" s="62" t="s">
        <v>15</v>
      </c>
      <c r="P18" s="63" t="s">
        <v>52</v>
      </c>
      <c r="Q18" s="57"/>
      <c r="R18" s="20"/>
      <c r="S18" s="20"/>
    </row>
    <row r="19" spans="2:19">
      <c r="B19" s="23"/>
      <c r="C19" s="23"/>
      <c r="D19" s="29"/>
      <c r="E19" s="45"/>
      <c r="F19" s="10" t="s">
        <v>53</v>
      </c>
      <c r="G19" s="64" t="s">
        <v>54</v>
      </c>
      <c r="H19" s="21">
        <f>H18*(520*1.25+500)/6.3*12</f>
        <v>54761.904761904763</v>
      </c>
      <c r="I19" s="46">
        <f>H19/$H$23</f>
        <v>0.37828947368421051</v>
      </c>
      <c r="L19" s="65">
        <v>1</v>
      </c>
      <c r="M19" s="66" t="s">
        <v>55</v>
      </c>
      <c r="N19" s="67">
        <v>60000</v>
      </c>
      <c r="O19" s="68">
        <v>0.1</v>
      </c>
      <c r="P19" s="69">
        <f t="shared" ref="P19:P24" si="2">N19*O19</f>
        <v>6000</v>
      </c>
      <c r="Q19" s="57"/>
      <c r="R19" s="20"/>
      <c r="S19" s="20"/>
    </row>
    <row r="20" spans="2:19">
      <c r="B20" s="10"/>
      <c r="C20" s="10"/>
      <c r="D20" s="18"/>
      <c r="E20" s="40"/>
      <c r="F20" s="10" t="s">
        <v>56</v>
      </c>
      <c r="G20" s="10" t="s">
        <v>57</v>
      </c>
      <c r="H20" s="21">
        <v>10000</v>
      </c>
      <c r="I20" s="46">
        <f>H20/$H$23</f>
        <v>6.9078947368421045E-2</v>
      </c>
      <c r="L20" s="65">
        <v>2</v>
      </c>
      <c r="M20" s="70" t="s">
        <v>58</v>
      </c>
      <c r="N20" s="67">
        <v>15000</v>
      </c>
      <c r="O20" s="68">
        <v>0.1</v>
      </c>
      <c r="P20" s="69">
        <f t="shared" si="2"/>
        <v>1500</v>
      </c>
      <c r="Q20" s="57"/>
      <c r="R20" s="20"/>
      <c r="S20" s="20"/>
    </row>
    <row r="21" spans="2:19">
      <c r="B21" s="10" t="s">
        <v>59</v>
      </c>
      <c r="C21" s="10" t="s">
        <v>60</v>
      </c>
      <c r="D21" s="71">
        <f>12*0.1+0.5</f>
        <v>1.7000000000000002</v>
      </c>
      <c r="E21" s="40"/>
      <c r="F21" s="23" t="s">
        <v>61</v>
      </c>
      <c r="G21" s="23" t="s">
        <v>61</v>
      </c>
      <c r="H21" s="29">
        <f>SUM(H19:H20)</f>
        <v>64761.904761904763</v>
      </c>
      <c r="I21" s="46">
        <f>H21/$H$23</f>
        <v>0.44736842105263158</v>
      </c>
      <c r="L21" s="65">
        <v>3</v>
      </c>
      <c r="M21" s="70" t="s">
        <v>62</v>
      </c>
      <c r="N21" s="67">
        <v>65000</v>
      </c>
      <c r="O21" s="68">
        <v>0.1</v>
      </c>
      <c r="P21" s="69">
        <f t="shared" si="2"/>
        <v>6500</v>
      </c>
      <c r="Q21" s="57"/>
      <c r="R21" s="20"/>
      <c r="S21" s="20"/>
    </row>
    <row r="22" spans="2:19">
      <c r="B22" s="10" t="s">
        <v>63</v>
      </c>
      <c r="C22" s="10" t="s">
        <v>64</v>
      </c>
      <c r="D22" s="72">
        <f>1000/(0.15*12)*1.02</f>
        <v>566.66666666666674</v>
      </c>
      <c r="E22" s="40"/>
      <c r="F22" s="10"/>
      <c r="G22" s="10"/>
      <c r="H22" s="40"/>
      <c r="I22" s="19"/>
      <c r="L22" s="65">
        <v>4</v>
      </c>
      <c r="M22" s="70" t="s">
        <v>65</v>
      </c>
      <c r="N22" s="67">
        <v>105000</v>
      </c>
      <c r="O22" s="68">
        <v>0.1</v>
      </c>
      <c r="P22" s="69">
        <f t="shared" si="2"/>
        <v>10500</v>
      </c>
      <c r="Q22" s="57"/>
      <c r="R22" s="20"/>
      <c r="S22" s="20"/>
    </row>
    <row r="23" spans="2:19">
      <c r="B23" s="23" t="s">
        <v>66</v>
      </c>
      <c r="C23" s="23" t="s">
        <v>66</v>
      </c>
      <c r="D23" s="73">
        <f>D21*D22</f>
        <v>963.3333333333336</v>
      </c>
      <c r="E23" s="45">
        <f>D23/$D$26</f>
        <v>0.2233018364532155</v>
      </c>
      <c r="F23" s="23" t="s">
        <v>67</v>
      </c>
      <c r="G23" s="23" t="s">
        <v>68</v>
      </c>
      <c r="H23" s="29">
        <f>H12+H16+H21</f>
        <v>144761.90476190476</v>
      </c>
      <c r="I23" s="46">
        <f>H23/$H$23</f>
        <v>1</v>
      </c>
      <c r="L23" s="65">
        <v>5</v>
      </c>
      <c r="M23" s="70" t="s">
        <v>69</v>
      </c>
      <c r="N23" s="67">
        <v>130000</v>
      </c>
      <c r="O23" s="68">
        <v>0.1</v>
      </c>
      <c r="P23" s="69">
        <f t="shared" si="2"/>
        <v>13000</v>
      </c>
      <c r="Q23" s="57"/>
      <c r="R23" s="20"/>
      <c r="S23" s="20"/>
    </row>
    <row r="24" spans="2:19">
      <c r="B24" s="10"/>
      <c r="C24" s="10"/>
      <c r="D24" s="18"/>
      <c r="E24" s="40"/>
      <c r="F24" s="10" t="s">
        <v>70</v>
      </c>
      <c r="G24" s="64" t="s">
        <v>71</v>
      </c>
      <c r="H24" s="104">
        <v>1</v>
      </c>
      <c r="I24" s="19"/>
      <c r="L24" s="65">
        <v>6</v>
      </c>
      <c r="M24" s="70" t="s">
        <v>72</v>
      </c>
      <c r="N24" s="67">
        <v>250000</v>
      </c>
      <c r="O24" s="68">
        <v>0.05</v>
      </c>
      <c r="P24" s="69">
        <f t="shared" si="2"/>
        <v>12500</v>
      </c>
      <c r="Q24" s="57"/>
      <c r="R24" s="20"/>
      <c r="S24" s="20"/>
    </row>
    <row r="25" spans="2:19">
      <c r="B25" s="10" t="s">
        <v>73</v>
      </c>
      <c r="C25" s="10" t="s">
        <v>113</v>
      </c>
      <c r="D25" s="44">
        <v>5.0000000000000001E-3</v>
      </c>
      <c r="E25" s="40"/>
      <c r="F25" s="10"/>
      <c r="G25" s="64"/>
      <c r="H25" s="75"/>
      <c r="I25" s="19"/>
      <c r="L25" s="65">
        <v>7</v>
      </c>
      <c r="M25" s="70"/>
      <c r="N25" s="67"/>
      <c r="O25" s="67"/>
      <c r="P25" s="76"/>
      <c r="Q25" s="57"/>
      <c r="R25" s="20"/>
      <c r="S25" s="20"/>
    </row>
    <row r="26" spans="2:19">
      <c r="B26" s="77" t="s">
        <v>74</v>
      </c>
      <c r="C26" s="78" t="s">
        <v>75</v>
      </c>
      <c r="D26" s="79">
        <f>(D14+D18+D23)*(1+D25)</f>
        <v>4314.0412485374427</v>
      </c>
      <c r="E26" s="80">
        <f>D26/$D$26</f>
        <v>1</v>
      </c>
      <c r="F26" s="23" t="s">
        <v>76</v>
      </c>
      <c r="G26" s="23" t="s">
        <v>77</v>
      </c>
      <c r="H26" s="24">
        <f>H23*H24</f>
        <v>144761.90476190476</v>
      </c>
      <c r="I26" s="46"/>
      <c r="L26" s="65">
        <v>8</v>
      </c>
      <c r="M26" s="70"/>
      <c r="N26" s="67"/>
      <c r="O26" s="67"/>
      <c r="P26" s="76"/>
      <c r="Q26" s="57"/>
      <c r="R26" s="20"/>
      <c r="S26" s="20"/>
    </row>
    <row r="27" spans="2:19">
      <c r="B27" s="5"/>
      <c r="C27" s="5"/>
      <c r="D27" s="39"/>
      <c r="E27" s="7"/>
      <c r="F27" s="5"/>
      <c r="G27" s="5"/>
      <c r="H27" s="7"/>
      <c r="I27" s="9"/>
      <c r="L27" s="81"/>
      <c r="M27" s="82" t="s">
        <v>44</v>
      </c>
      <c r="N27" s="83">
        <f>SUM(N19:N26)</f>
        <v>625000</v>
      </c>
      <c r="O27" s="84">
        <f>P27/N27</f>
        <v>0.08</v>
      </c>
      <c r="P27" s="85">
        <f>SUM(P19:P26)</f>
        <v>50000</v>
      </c>
      <c r="Q27" s="57"/>
      <c r="R27" s="20"/>
      <c r="S27" s="20"/>
    </row>
    <row r="28" spans="2:19">
      <c r="B28" s="23" t="s">
        <v>78</v>
      </c>
      <c r="C28" s="23" t="s">
        <v>79</v>
      </c>
      <c r="D28" s="29">
        <f>D8-D26</f>
        <v>487.83430394343668</v>
      </c>
      <c r="E28" s="40"/>
      <c r="F28" s="10" t="s">
        <v>80</v>
      </c>
      <c r="G28" s="10" t="s">
        <v>81</v>
      </c>
      <c r="H28" s="16">
        <v>2178</v>
      </c>
      <c r="I28" s="19"/>
      <c r="O28" s="86"/>
      <c r="P28" s="86"/>
      <c r="Q28" s="86"/>
    </row>
    <row r="29" spans="2:19">
      <c r="B29" s="10" t="s">
        <v>82</v>
      </c>
      <c r="C29" s="10" t="s">
        <v>83</v>
      </c>
      <c r="D29" s="87">
        <f>D28/D8</f>
        <v>0.10159245041063134</v>
      </c>
      <c r="E29" s="40"/>
      <c r="F29" s="23" t="s">
        <v>84</v>
      </c>
      <c r="G29" s="88" t="s">
        <v>85</v>
      </c>
      <c r="H29" s="29">
        <f>D28*H28</f>
        <v>1062503.1139888051</v>
      </c>
      <c r="I29" s="19"/>
    </row>
    <row r="30" spans="2:19">
      <c r="B30" s="10"/>
      <c r="C30" s="10"/>
      <c r="D30" s="87"/>
      <c r="E30" s="40"/>
      <c r="F30" s="23"/>
      <c r="G30" s="23"/>
      <c r="H30" s="29"/>
      <c r="I30" s="19"/>
    </row>
    <row r="31" spans="2:19">
      <c r="B31" s="23" t="s">
        <v>86</v>
      </c>
      <c r="C31" s="23" t="s">
        <v>74</v>
      </c>
      <c r="D31" s="29">
        <f>D26</f>
        <v>4314.0412485374427</v>
      </c>
      <c r="E31" s="45">
        <f>D31/$D$35</f>
        <v>0.98482697904429273</v>
      </c>
      <c r="F31" s="23" t="s">
        <v>87</v>
      </c>
      <c r="G31" s="23" t="s">
        <v>88</v>
      </c>
      <c r="H31" s="24">
        <f>H26/D28</f>
        <v>296.74400424839661</v>
      </c>
      <c r="I31" s="19"/>
    </row>
    <row r="32" spans="2:19">
      <c r="B32" s="97"/>
      <c r="C32" s="97"/>
      <c r="D32" s="89"/>
      <c r="E32"/>
      <c r="F32" s="10" t="s">
        <v>89</v>
      </c>
      <c r="G32" s="10" t="s">
        <v>90</v>
      </c>
      <c r="H32" s="22">
        <f>H31*D11</f>
        <v>29.092549436117313</v>
      </c>
      <c r="I32" s="19"/>
    </row>
    <row r="33" spans="2:16">
      <c r="B33" s="23" t="s">
        <v>91</v>
      </c>
      <c r="C33" s="23" t="s">
        <v>92</v>
      </c>
      <c r="D33" s="29">
        <f>H26/H28</f>
        <v>66.46552101097555</v>
      </c>
      <c r="E33" s="45">
        <f>D33/$D$35</f>
        <v>1.5173020955707233E-2</v>
      </c>
      <c r="F33" s="10"/>
      <c r="G33" s="10"/>
      <c r="H33" s="40"/>
      <c r="I33" s="46"/>
    </row>
    <row r="34" spans="2:16">
      <c r="B34" s="10"/>
      <c r="C34" s="10"/>
      <c r="D34" s="18"/>
      <c r="E34" s="40"/>
      <c r="F34" s="10" t="s">
        <v>93</v>
      </c>
      <c r="G34" s="10" t="s">
        <v>94</v>
      </c>
      <c r="H34" s="90">
        <f>D17</f>
        <v>0.39600000000000002</v>
      </c>
      <c r="I34" s="19"/>
    </row>
    <row r="35" spans="2:16">
      <c r="B35" s="23" t="s">
        <v>95</v>
      </c>
      <c r="C35" s="23" t="s">
        <v>96</v>
      </c>
      <c r="D35" s="29">
        <f>D26+D33</f>
        <v>4380.5067695484186</v>
      </c>
      <c r="E35" s="45">
        <f>D35/$D$35</f>
        <v>1</v>
      </c>
      <c r="F35" s="10" t="s">
        <v>97</v>
      </c>
      <c r="G35" s="10" t="s">
        <v>98</v>
      </c>
      <c r="H35" s="21">
        <v>22</v>
      </c>
      <c r="I35" s="46"/>
      <c r="L35" s="96" t="s">
        <v>109</v>
      </c>
      <c r="M35" s="89"/>
      <c r="N35" s="89"/>
      <c r="O35" s="89"/>
      <c r="P35" s="89"/>
    </row>
    <row r="36" spans="2:16">
      <c r="B36" s="10"/>
      <c r="C36" s="10"/>
      <c r="D36" s="18"/>
      <c r="E36" s="40"/>
      <c r="F36" s="10" t="s">
        <v>99</v>
      </c>
      <c r="G36" s="10" t="s">
        <v>100</v>
      </c>
      <c r="H36" s="91">
        <v>250</v>
      </c>
      <c r="I36" s="19"/>
    </row>
    <row r="37" spans="2:16">
      <c r="B37" s="23" t="s">
        <v>101</v>
      </c>
      <c r="C37" s="23" t="s">
        <v>102</v>
      </c>
      <c r="D37" s="29">
        <f>D8-D35</f>
        <v>421.36878293246082</v>
      </c>
      <c r="E37" s="45"/>
      <c r="F37" s="23" t="s">
        <v>103</v>
      </c>
      <c r="G37" s="23" t="s">
        <v>104</v>
      </c>
      <c r="H37" s="29">
        <f>H34*H35*H36</f>
        <v>2178</v>
      </c>
      <c r="I37" s="46"/>
    </row>
    <row r="38" spans="2:16">
      <c r="B38" s="30"/>
      <c r="C38" s="30"/>
      <c r="D38" s="92"/>
      <c r="E38" s="92"/>
      <c r="F38" s="30" t="s">
        <v>105</v>
      </c>
      <c r="G38" s="30" t="s">
        <v>106</v>
      </c>
      <c r="H38" s="93">
        <f>H28/H37</f>
        <v>1</v>
      </c>
      <c r="I38" s="32"/>
    </row>
    <row r="39" spans="2:16">
      <c r="B39" s="94" t="s">
        <v>107</v>
      </c>
      <c r="C39" s="95" t="s">
        <v>108</v>
      </c>
      <c r="D39" s="92"/>
      <c r="E39" s="92"/>
      <c r="F39" s="92"/>
      <c r="G39" s="92"/>
      <c r="H39" s="92"/>
      <c r="I39" s="32"/>
    </row>
  </sheetData>
  <pageMargins left="0.75" right="0.75" top="1" bottom="1" header="0.5" footer="0.5"/>
  <pageSetup paperSize="9" orientation="portrait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S39"/>
  <sheetViews>
    <sheetView zoomScale="90" zoomScaleNormal="90" workbookViewId="0">
      <selection activeCell="H18" sqref="H18"/>
    </sheetView>
  </sheetViews>
  <sheetFormatPr defaultRowHeight="12.75"/>
  <cols>
    <col min="1" max="1" width="2.140625" style="3" customWidth="1"/>
    <col min="2" max="2" width="39.28515625" style="3" hidden="1" customWidth="1"/>
    <col min="3" max="3" width="44.85546875" style="3" customWidth="1"/>
    <col min="4" max="4" width="8.7109375" style="3" bestFit="1" customWidth="1"/>
    <col min="5" max="5" width="6.85546875" style="3" customWidth="1"/>
    <col min="6" max="6" width="38.85546875" style="3" hidden="1" customWidth="1"/>
    <col min="7" max="7" width="39.140625" style="3" bestFit="1" customWidth="1"/>
    <col min="8" max="8" width="12.5703125" style="3" customWidth="1"/>
    <col min="9" max="9" width="6.42578125" style="3" customWidth="1"/>
    <col min="10" max="10" width="2.42578125" style="3" customWidth="1"/>
    <col min="11" max="11" width="1.85546875" style="3" customWidth="1"/>
    <col min="12" max="12" width="5.28515625" style="3" bestFit="1" customWidth="1"/>
    <col min="13" max="13" width="25" style="3" bestFit="1" customWidth="1"/>
    <col min="14" max="14" width="11.5703125" style="3" customWidth="1"/>
    <col min="15" max="15" width="11.5703125" style="3" bestFit="1" customWidth="1"/>
    <col min="16" max="16" width="12.85546875" style="3" bestFit="1" customWidth="1"/>
    <col min="17" max="17" width="7.42578125" style="3" bestFit="1" customWidth="1"/>
    <col min="18" max="18" width="2" style="3" customWidth="1"/>
    <col min="19" max="19" width="5" style="3" customWidth="1"/>
    <col min="20" max="16384" width="9.140625" style="3"/>
  </cols>
  <sheetData>
    <row r="2" spans="2:19">
      <c r="B2" s="98" t="s">
        <v>114</v>
      </c>
      <c r="C2" s="98" t="s">
        <v>116</v>
      </c>
      <c r="D2" s="99"/>
      <c r="E2" s="100"/>
      <c r="F2" s="101"/>
      <c r="G2" s="101"/>
      <c r="H2" s="2">
        <v>40848</v>
      </c>
      <c r="I2" s="1"/>
      <c r="M2" s="4"/>
    </row>
    <row r="3" spans="2:19">
      <c r="B3" s="5"/>
      <c r="C3" s="5"/>
      <c r="D3" s="6" t="s">
        <v>111</v>
      </c>
      <c r="E3" s="7"/>
      <c r="F3" s="5"/>
      <c r="G3" s="5"/>
      <c r="H3" s="8" t="str">
        <f>D3</f>
        <v>EUR</v>
      </c>
      <c r="I3" s="9"/>
      <c r="M3" s="4"/>
    </row>
    <row r="4" spans="2:19">
      <c r="B4" s="10"/>
      <c r="C4" s="10"/>
      <c r="D4" s="11" t="s">
        <v>0</v>
      </c>
      <c r="E4" s="12"/>
      <c r="F4" s="13"/>
      <c r="G4" s="13"/>
      <c r="H4" s="14" t="s">
        <v>1</v>
      </c>
      <c r="I4" s="15"/>
    </row>
    <row r="5" spans="2:19">
      <c r="B5" s="10" t="s">
        <v>2</v>
      </c>
      <c r="C5" s="10" t="s">
        <v>3</v>
      </c>
      <c r="D5" s="16">
        <v>6000</v>
      </c>
      <c r="E5" s="17"/>
      <c r="F5" s="10" t="s">
        <v>4</v>
      </c>
      <c r="G5" s="10" t="s">
        <v>5</v>
      </c>
      <c r="H5" s="18">
        <f>D8*H28</f>
        <v>2302826.0869565215</v>
      </c>
      <c r="I5" s="19"/>
      <c r="L5" s="20"/>
      <c r="M5" s="20"/>
      <c r="N5" s="20"/>
      <c r="O5" s="20"/>
      <c r="P5" s="20"/>
      <c r="Q5" s="20"/>
      <c r="R5" s="20"/>
      <c r="S5" s="20"/>
    </row>
    <row r="6" spans="2:19">
      <c r="B6" s="10" t="s">
        <v>112</v>
      </c>
      <c r="C6" s="102" t="s">
        <v>115</v>
      </c>
      <c r="D6" s="21">
        <f>D5/115%*15%</f>
        <v>782.60869565217399</v>
      </c>
      <c r="E6" s="17"/>
      <c r="F6" s="10" t="s">
        <v>6</v>
      </c>
      <c r="G6" s="10" t="s">
        <v>7</v>
      </c>
      <c r="H6" s="22">
        <f>D26*H28+H26</f>
        <v>2203645.6327985744</v>
      </c>
      <c r="I6" s="19"/>
      <c r="L6" s="20"/>
      <c r="M6" s="20"/>
      <c r="N6" s="20"/>
      <c r="O6" s="20"/>
      <c r="P6" s="20"/>
      <c r="Q6" s="20"/>
      <c r="R6" s="20"/>
      <c r="S6" s="20"/>
    </row>
    <row r="7" spans="2:19">
      <c r="B7" s="10" t="s">
        <v>110</v>
      </c>
      <c r="C7" s="10" t="s">
        <v>8</v>
      </c>
      <c r="D7" s="21">
        <v>100</v>
      </c>
      <c r="E7" s="17"/>
      <c r="F7" s="23" t="s">
        <v>9</v>
      </c>
      <c r="G7" s="23" t="s">
        <v>10</v>
      </c>
      <c r="H7" s="24">
        <f>H5-H6</f>
        <v>99180.454157947097</v>
      </c>
      <c r="I7" s="19"/>
      <c r="L7" s="25"/>
      <c r="M7" s="26" t="s">
        <v>11</v>
      </c>
      <c r="N7" s="26" t="s">
        <v>12</v>
      </c>
      <c r="O7" s="27" t="s">
        <v>13</v>
      </c>
      <c r="P7" s="27" t="s">
        <v>14</v>
      </c>
      <c r="Q7" s="28" t="s">
        <v>15</v>
      </c>
      <c r="R7" s="20"/>
      <c r="S7" s="20"/>
    </row>
    <row r="8" spans="2:19">
      <c r="B8" s="23" t="s">
        <v>16</v>
      </c>
      <c r="C8" s="23" t="s">
        <v>17</v>
      </c>
      <c r="D8" s="29">
        <f>D5-D7-D6</f>
        <v>5117.391304347826</v>
      </c>
      <c r="E8" s="17"/>
      <c r="F8" s="30" t="s">
        <v>18</v>
      </c>
      <c r="G8" s="30" t="s">
        <v>19</v>
      </c>
      <c r="H8" s="31">
        <f>H7/H5</f>
        <v>4.3069016249084935E-2</v>
      </c>
      <c r="I8" s="32"/>
      <c r="L8" s="33">
        <v>1</v>
      </c>
      <c r="M8" s="34" t="s">
        <v>20</v>
      </c>
      <c r="N8" s="35">
        <v>5.5</v>
      </c>
      <c r="O8" s="36">
        <f>14+3700/9180</f>
        <v>14.403050108932462</v>
      </c>
      <c r="P8" s="37">
        <f t="shared" ref="P8:P15" si="0">N8*O8</f>
        <v>79.216775599128539</v>
      </c>
      <c r="Q8" s="38">
        <f t="shared" ref="Q8:Q16" si="1">P8/$P$16</f>
        <v>0.45074383486738256</v>
      </c>
      <c r="R8" s="20"/>
      <c r="S8" s="20"/>
    </row>
    <row r="9" spans="2:19">
      <c r="B9" s="5"/>
      <c r="C9" s="5"/>
      <c r="D9" s="39"/>
      <c r="E9" s="7"/>
      <c r="F9" s="10"/>
      <c r="G9" s="10"/>
      <c r="H9" s="40"/>
      <c r="I9" s="19"/>
      <c r="L9" s="33">
        <v>2</v>
      </c>
      <c r="M9" s="41" t="s">
        <v>21</v>
      </c>
      <c r="N9" s="35">
        <v>20</v>
      </c>
      <c r="O9" s="36">
        <v>4.75</v>
      </c>
      <c r="P9" s="37">
        <f t="shared" si="0"/>
        <v>95</v>
      </c>
      <c r="Q9" s="38">
        <f t="shared" si="1"/>
        <v>0.54055045776026778</v>
      </c>
      <c r="R9" s="20"/>
      <c r="S9" s="20"/>
    </row>
    <row r="10" spans="2:19">
      <c r="B10" s="10" t="s">
        <v>22</v>
      </c>
      <c r="C10" s="10" t="s">
        <v>23</v>
      </c>
      <c r="D10" s="42">
        <f>(O8*1000+3700/9.18)*112%</f>
        <v>16582.832244008714</v>
      </c>
      <c r="E10" s="40"/>
      <c r="F10" s="10" t="s">
        <v>24</v>
      </c>
      <c r="G10" s="10" t="s">
        <v>25</v>
      </c>
      <c r="H10" s="21">
        <v>625000</v>
      </c>
      <c r="I10" s="19"/>
      <c r="L10" s="33">
        <v>3</v>
      </c>
      <c r="M10" s="41" t="s">
        <v>26</v>
      </c>
      <c r="N10" s="35">
        <v>30.6</v>
      </c>
      <c r="O10" s="36">
        <v>0.05</v>
      </c>
      <c r="P10" s="37">
        <f t="shared" si="0"/>
        <v>1.5300000000000002</v>
      </c>
      <c r="Q10" s="38">
        <f t="shared" si="1"/>
        <v>8.7057073723495783E-3</v>
      </c>
      <c r="R10" s="20"/>
      <c r="S10" s="20"/>
    </row>
    <row r="11" spans="2:19">
      <c r="B11" s="10" t="s">
        <v>27</v>
      </c>
      <c r="C11" s="10" t="s">
        <v>28</v>
      </c>
      <c r="D11" s="43">
        <f>5.5/56.1</f>
        <v>9.8039215686274508E-2</v>
      </c>
      <c r="E11" s="40"/>
      <c r="F11" s="10" t="s">
        <v>29</v>
      </c>
      <c r="G11" s="10" t="s">
        <v>30</v>
      </c>
      <c r="H11" s="44">
        <v>0.08</v>
      </c>
      <c r="I11" s="19"/>
      <c r="L11" s="33">
        <v>4</v>
      </c>
      <c r="M11" s="41"/>
      <c r="N11" s="35"/>
      <c r="O11" s="36"/>
      <c r="P11" s="37">
        <f t="shared" si="0"/>
        <v>0</v>
      </c>
      <c r="Q11" s="38">
        <f t="shared" si="1"/>
        <v>0</v>
      </c>
      <c r="R11" s="20"/>
      <c r="S11" s="20"/>
    </row>
    <row r="12" spans="2:19">
      <c r="B12" s="10" t="s">
        <v>31</v>
      </c>
      <c r="C12" s="10" t="s">
        <v>32</v>
      </c>
      <c r="D12" s="18">
        <f>D10*D11</f>
        <v>1625.7678670596779</v>
      </c>
      <c r="E12" s="45">
        <f>D12/$D$26</f>
        <v>0.36954017125052041</v>
      </c>
      <c r="F12" s="23" t="s">
        <v>33</v>
      </c>
      <c r="G12" s="23" t="s">
        <v>33</v>
      </c>
      <c r="H12" s="24">
        <f>H10*H11</f>
        <v>50000</v>
      </c>
      <c r="I12" s="46">
        <f>H12/$H$23</f>
        <v>0.22331397945511389</v>
      </c>
      <c r="L12" s="33">
        <v>5</v>
      </c>
      <c r="M12" s="41"/>
      <c r="N12" s="35"/>
      <c r="O12" s="36"/>
      <c r="P12" s="37">
        <f t="shared" si="0"/>
        <v>0</v>
      </c>
      <c r="Q12" s="38">
        <f t="shared" si="1"/>
        <v>0</v>
      </c>
      <c r="R12" s="20"/>
      <c r="S12" s="20"/>
    </row>
    <row r="13" spans="2:19">
      <c r="B13" s="10" t="s">
        <v>34</v>
      </c>
      <c r="C13" s="10" t="s">
        <v>35</v>
      </c>
      <c r="D13" s="42">
        <f>(95+1.53)/56.1*1000</f>
        <v>1720.6773618538325</v>
      </c>
      <c r="E13" s="45">
        <f>D13/$D$26</f>
        <v>0.39111328243702959</v>
      </c>
      <c r="F13" s="10"/>
      <c r="G13" s="10"/>
      <c r="H13" s="40"/>
      <c r="I13" s="46"/>
      <c r="L13" s="33">
        <v>6</v>
      </c>
      <c r="M13" s="41"/>
      <c r="N13" s="35"/>
      <c r="O13" s="36"/>
      <c r="P13" s="37">
        <f t="shared" si="0"/>
        <v>0</v>
      </c>
      <c r="Q13" s="38">
        <f t="shared" si="1"/>
        <v>0</v>
      </c>
      <c r="R13" s="20"/>
      <c r="S13" s="20"/>
    </row>
    <row r="14" spans="2:19">
      <c r="B14" s="23" t="s">
        <v>36</v>
      </c>
      <c r="C14" s="23" t="s">
        <v>36</v>
      </c>
      <c r="D14" s="29">
        <f>D12+D13</f>
        <v>3346.4452289135106</v>
      </c>
      <c r="E14" s="45">
        <f>D14/$D$26</f>
        <v>0.76065345368755</v>
      </c>
      <c r="F14" s="10" t="s">
        <v>37</v>
      </c>
      <c r="G14" s="10" t="s">
        <v>38</v>
      </c>
      <c r="H14" s="21">
        <f>H10*40%</f>
        <v>250000</v>
      </c>
      <c r="I14" s="46"/>
      <c r="L14" s="33">
        <v>7</v>
      </c>
      <c r="M14" s="41"/>
      <c r="N14" s="35"/>
      <c r="O14" s="36"/>
      <c r="P14" s="37">
        <f t="shared" si="0"/>
        <v>0</v>
      </c>
      <c r="Q14" s="38">
        <f t="shared" si="1"/>
        <v>0</v>
      </c>
      <c r="R14" s="20"/>
      <c r="S14" s="20"/>
    </row>
    <row r="15" spans="2:19">
      <c r="B15" s="10"/>
      <c r="C15" s="10"/>
      <c r="D15" s="18"/>
      <c r="E15" s="40"/>
      <c r="F15" s="10" t="s">
        <v>39</v>
      </c>
      <c r="G15" s="10" t="s">
        <v>40</v>
      </c>
      <c r="H15" s="44">
        <v>0.15</v>
      </c>
      <c r="I15" s="19"/>
      <c r="L15" s="33">
        <v>8</v>
      </c>
      <c r="M15" s="41"/>
      <c r="N15" s="47"/>
      <c r="O15" s="48"/>
      <c r="P15" s="37">
        <f t="shared" si="0"/>
        <v>0</v>
      </c>
      <c r="Q15" s="38">
        <f t="shared" si="1"/>
        <v>0</v>
      </c>
      <c r="R15" s="20"/>
      <c r="S15" s="20"/>
    </row>
    <row r="16" spans="2:19">
      <c r="B16" s="10" t="s">
        <v>41</v>
      </c>
      <c r="C16" s="10" t="s">
        <v>42</v>
      </c>
      <c r="D16" s="49">
        <f>1.25*60/7</f>
        <v>10.714285714285714</v>
      </c>
      <c r="E16" s="50"/>
      <c r="F16" s="23" t="s">
        <v>43</v>
      </c>
      <c r="G16" s="23" t="s">
        <v>43</v>
      </c>
      <c r="H16" s="24">
        <f>H14*H15</f>
        <v>37500</v>
      </c>
      <c r="I16" s="46">
        <f>H16/$H$23</f>
        <v>0.16748548459133542</v>
      </c>
      <c r="L16" s="51"/>
      <c r="M16" s="52" t="s">
        <v>44</v>
      </c>
      <c r="N16" s="53">
        <f>SUM(N8:N15)</f>
        <v>56.1</v>
      </c>
      <c r="O16" s="54"/>
      <c r="P16" s="55">
        <f>SUM(P8:P15)</f>
        <v>175.74677559912854</v>
      </c>
      <c r="Q16" s="56">
        <f t="shared" si="1"/>
        <v>1</v>
      </c>
      <c r="R16" s="20"/>
      <c r="S16" s="20"/>
    </row>
    <row r="17" spans="2:19">
      <c r="B17" s="10" t="s">
        <v>45</v>
      </c>
      <c r="C17" s="10" t="s">
        <v>46</v>
      </c>
      <c r="D17" s="43">
        <f>56.1*60/7/1000</f>
        <v>0.48085714285714282</v>
      </c>
      <c r="E17" s="40"/>
      <c r="F17" s="10"/>
      <c r="G17" s="10"/>
      <c r="H17" s="40"/>
      <c r="I17" s="19"/>
      <c r="L17" s="57"/>
      <c r="M17" s="57"/>
      <c r="N17" s="57"/>
      <c r="O17" s="57"/>
      <c r="P17" s="57"/>
      <c r="Q17" s="57"/>
      <c r="R17" s="20"/>
      <c r="S17" s="20"/>
    </row>
    <row r="18" spans="2:19">
      <c r="B18" s="23" t="s">
        <v>47</v>
      </c>
      <c r="C18" s="23" t="s">
        <v>47</v>
      </c>
      <c r="D18" s="29">
        <f>D16/D17</f>
        <v>22.281639928698752</v>
      </c>
      <c r="E18" s="58">
        <f>D18/$D$26</f>
        <v>5.0646597228456124E-3</v>
      </c>
      <c r="F18" s="10" t="s">
        <v>48</v>
      </c>
      <c r="G18" s="59" t="s">
        <v>49</v>
      </c>
      <c r="H18" s="21">
        <v>12</v>
      </c>
      <c r="I18" s="46"/>
      <c r="L18" s="60"/>
      <c r="M18" s="61" t="s">
        <v>50</v>
      </c>
      <c r="N18" s="61" t="s">
        <v>51</v>
      </c>
      <c r="O18" s="62" t="s">
        <v>15</v>
      </c>
      <c r="P18" s="63" t="s">
        <v>52</v>
      </c>
      <c r="Q18" s="57"/>
      <c r="R18" s="20"/>
      <c r="S18" s="20"/>
    </row>
    <row r="19" spans="2:19">
      <c r="B19" s="23"/>
      <c r="C19" s="23"/>
      <c r="D19" s="29"/>
      <c r="E19" s="45"/>
      <c r="F19" s="10" t="s">
        <v>53</v>
      </c>
      <c r="G19" s="64" t="s">
        <v>54</v>
      </c>
      <c r="H19" s="21">
        <f>H18*600*12</f>
        <v>86400</v>
      </c>
      <c r="I19" s="46">
        <f>H19/$H$23</f>
        <v>0.38588655649843678</v>
      </c>
      <c r="L19" s="65">
        <v>1</v>
      </c>
      <c r="M19" s="66" t="s">
        <v>55</v>
      </c>
      <c r="N19" s="67">
        <v>60000</v>
      </c>
      <c r="O19" s="68">
        <v>0.1</v>
      </c>
      <c r="P19" s="69">
        <f t="shared" ref="P19:P24" si="2">N19*O19</f>
        <v>6000</v>
      </c>
      <c r="Q19" s="57"/>
      <c r="R19" s="20"/>
      <c r="S19" s="20"/>
    </row>
    <row r="20" spans="2:19">
      <c r="B20" s="10"/>
      <c r="C20" s="10"/>
      <c r="D20" s="18"/>
      <c r="E20" s="40"/>
      <c r="F20" s="10" t="s">
        <v>56</v>
      </c>
      <c r="G20" s="10" t="s">
        <v>57</v>
      </c>
      <c r="H20" s="21">
        <v>50000</v>
      </c>
      <c r="I20" s="46">
        <f>H20/$H$23</f>
        <v>0.22331397945511389</v>
      </c>
      <c r="L20" s="65">
        <v>2</v>
      </c>
      <c r="M20" s="70" t="s">
        <v>58</v>
      </c>
      <c r="N20" s="67">
        <v>15000</v>
      </c>
      <c r="O20" s="68">
        <v>0.1</v>
      </c>
      <c r="P20" s="69">
        <f t="shared" si="2"/>
        <v>1500</v>
      </c>
      <c r="Q20" s="57"/>
      <c r="R20" s="20"/>
      <c r="S20" s="20"/>
    </row>
    <row r="21" spans="2:19">
      <c r="B21" s="10" t="s">
        <v>59</v>
      </c>
      <c r="C21" s="10" t="s">
        <v>60</v>
      </c>
      <c r="D21" s="71">
        <f>12*0.1+0.5</f>
        <v>1.7000000000000002</v>
      </c>
      <c r="E21" s="40"/>
      <c r="F21" s="23" t="s">
        <v>61</v>
      </c>
      <c r="G21" s="23" t="s">
        <v>61</v>
      </c>
      <c r="H21" s="29">
        <f>SUM(H19:H20)</f>
        <v>136400</v>
      </c>
      <c r="I21" s="46">
        <f>H21/$H$23</f>
        <v>0.60920053595355073</v>
      </c>
      <c r="L21" s="65">
        <v>3</v>
      </c>
      <c r="M21" s="70" t="s">
        <v>62</v>
      </c>
      <c r="N21" s="67">
        <v>65000</v>
      </c>
      <c r="O21" s="68">
        <v>0.1</v>
      </c>
      <c r="P21" s="69">
        <f t="shared" si="2"/>
        <v>6500</v>
      </c>
      <c r="Q21" s="57"/>
      <c r="R21" s="20"/>
      <c r="S21" s="20"/>
    </row>
    <row r="22" spans="2:19">
      <c r="B22" s="10" t="s">
        <v>63</v>
      </c>
      <c r="C22" s="10" t="s">
        <v>64</v>
      </c>
      <c r="D22" s="72">
        <f>1000/(12*0.15)</f>
        <v>555.55555555555566</v>
      </c>
      <c r="E22" s="40"/>
      <c r="F22" s="10"/>
      <c r="G22" s="10"/>
      <c r="H22" s="40"/>
      <c r="I22" s="19"/>
      <c r="L22" s="65">
        <v>4</v>
      </c>
      <c r="M22" s="70" t="s">
        <v>65</v>
      </c>
      <c r="N22" s="67">
        <v>105000</v>
      </c>
      <c r="O22" s="68">
        <v>0.1</v>
      </c>
      <c r="P22" s="69">
        <f t="shared" si="2"/>
        <v>10500</v>
      </c>
      <c r="Q22" s="57"/>
      <c r="R22" s="20"/>
      <c r="S22" s="20"/>
    </row>
    <row r="23" spans="2:19">
      <c r="B23" s="23" t="s">
        <v>66</v>
      </c>
      <c r="C23" s="23" t="s">
        <v>66</v>
      </c>
      <c r="D23" s="73">
        <f>D21*D22</f>
        <v>944.44444444444468</v>
      </c>
      <c r="E23" s="45">
        <f>D23/$D$26</f>
        <v>0.21467404345234942</v>
      </c>
      <c r="F23" s="23" t="s">
        <v>67</v>
      </c>
      <c r="G23" s="23" t="s">
        <v>68</v>
      </c>
      <c r="H23" s="29">
        <f>H12+H16+H21</f>
        <v>223900</v>
      </c>
      <c r="I23" s="46">
        <f>H23/$H$23</f>
        <v>1</v>
      </c>
      <c r="L23" s="65">
        <v>5</v>
      </c>
      <c r="M23" s="70" t="s">
        <v>69</v>
      </c>
      <c r="N23" s="67">
        <v>130000</v>
      </c>
      <c r="O23" s="68">
        <v>0.1</v>
      </c>
      <c r="P23" s="69">
        <f t="shared" si="2"/>
        <v>13000</v>
      </c>
      <c r="Q23" s="57"/>
      <c r="R23" s="20"/>
      <c r="S23" s="20"/>
    </row>
    <row r="24" spans="2:19">
      <c r="B24" s="10"/>
      <c r="C24" s="10"/>
      <c r="D24" s="18"/>
      <c r="E24" s="40"/>
      <c r="F24" s="10" t="s">
        <v>70</v>
      </c>
      <c r="G24" s="64" t="s">
        <v>71</v>
      </c>
      <c r="H24" s="74">
        <v>1</v>
      </c>
      <c r="I24" s="19"/>
      <c r="L24" s="65">
        <v>6</v>
      </c>
      <c r="M24" s="70" t="s">
        <v>72</v>
      </c>
      <c r="N24" s="67">
        <v>250000</v>
      </c>
      <c r="O24" s="68">
        <v>0.05</v>
      </c>
      <c r="P24" s="69">
        <f t="shared" si="2"/>
        <v>12500</v>
      </c>
      <c r="Q24" s="57"/>
      <c r="R24" s="20"/>
      <c r="S24" s="20"/>
    </row>
    <row r="25" spans="2:19">
      <c r="B25" s="10" t="s">
        <v>73</v>
      </c>
      <c r="C25" s="10" t="s">
        <v>113</v>
      </c>
      <c r="D25" s="44">
        <v>0.02</v>
      </c>
      <c r="E25" s="40"/>
      <c r="F25" s="10"/>
      <c r="G25" s="64"/>
      <c r="H25" s="75"/>
      <c r="I25" s="19"/>
      <c r="L25" s="65">
        <v>7</v>
      </c>
      <c r="M25" s="70"/>
      <c r="N25" s="67"/>
      <c r="O25" s="67"/>
      <c r="P25" s="76"/>
      <c r="Q25" s="57"/>
      <c r="R25" s="20"/>
      <c r="S25" s="20"/>
    </row>
    <row r="26" spans="2:19">
      <c r="B26" s="77" t="s">
        <v>74</v>
      </c>
      <c r="C26" s="78" t="s">
        <v>75</v>
      </c>
      <c r="D26" s="79">
        <f>(D14+D18+D23)*(1+D25)</f>
        <v>4399.4347395523873</v>
      </c>
      <c r="E26" s="80">
        <f>D26/$D$26</f>
        <v>1</v>
      </c>
      <c r="F26" s="23" t="s">
        <v>76</v>
      </c>
      <c r="G26" s="23" t="s">
        <v>77</v>
      </c>
      <c r="H26" s="24">
        <f>H23*H24</f>
        <v>223900</v>
      </c>
      <c r="I26" s="46"/>
      <c r="L26" s="65">
        <v>8</v>
      </c>
      <c r="M26" s="70"/>
      <c r="N26" s="67"/>
      <c r="O26" s="67"/>
      <c r="P26" s="76"/>
      <c r="Q26" s="57"/>
      <c r="R26" s="20"/>
      <c r="S26" s="20"/>
    </row>
    <row r="27" spans="2:19">
      <c r="B27" s="5"/>
      <c r="C27" s="5"/>
      <c r="D27" s="39"/>
      <c r="E27" s="7"/>
      <c r="F27" s="5"/>
      <c r="G27" s="5"/>
      <c r="H27" s="7"/>
      <c r="I27" s="9"/>
      <c r="L27" s="81"/>
      <c r="M27" s="82" t="s">
        <v>44</v>
      </c>
      <c r="N27" s="83">
        <f>SUM(N19:N26)</f>
        <v>625000</v>
      </c>
      <c r="O27" s="84">
        <f>P27/N27</f>
        <v>0.08</v>
      </c>
      <c r="P27" s="85">
        <f>SUM(P19:P26)</f>
        <v>50000</v>
      </c>
      <c r="Q27" s="57"/>
      <c r="R27" s="20"/>
      <c r="S27" s="20"/>
    </row>
    <row r="28" spans="2:19">
      <c r="B28" s="23" t="s">
        <v>78</v>
      </c>
      <c r="C28" s="23" t="s">
        <v>79</v>
      </c>
      <c r="D28" s="29">
        <f>D8-D26</f>
        <v>717.95656479543868</v>
      </c>
      <c r="E28" s="40"/>
      <c r="F28" s="10" t="s">
        <v>80</v>
      </c>
      <c r="G28" s="10" t="s">
        <v>81</v>
      </c>
      <c r="H28" s="16">
        <v>450</v>
      </c>
      <c r="I28" s="19"/>
      <c r="O28" s="86"/>
      <c r="P28" s="86"/>
      <c r="Q28" s="86"/>
    </row>
    <row r="29" spans="2:19">
      <c r="B29" s="10" t="s">
        <v>82</v>
      </c>
      <c r="C29" s="10" t="s">
        <v>83</v>
      </c>
      <c r="D29" s="87">
        <f>D28/D8</f>
        <v>0.14029737459893873</v>
      </c>
      <c r="E29" s="40"/>
      <c r="F29" s="23" t="s">
        <v>84</v>
      </c>
      <c r="G29" s="88" t="s">
        <v>85</v>
      </c>
      <c r="H29" s="29">
        <f>D28*H28</f>
        <v>323080.45415794739</v>
      </c>
      <c r="I29" s="19"/>
    </row>
    <row r="30" spans="2:19">
      <c r="B30" s="10"/>
      <c r="C30" s="10"/>
      <c r="D30" s="87"/>
      <c r="E30" s="40"/>
      <c r="F30" s="23"/>
      <c r="G30" s="23"/>
      <c r="H30" s="29"/>
      <c r="I30" s="19"/>
    </row>
    <row r="31" spans="2:19">
      <c r="B31" s="23" t="s">
        <v>86</v>
      </c>
      <c r="C31" s="23" t="s">
        <v>74</v>
      </c>
      <c r="D31" s="29">
        <f>D26</f>
        <v>4399.4347395523873</v>
      </c>
      <c r="E31" s="45">
        <f>D31/$D$35</f>
        <v>0.89839564190016674</v>
      </c>
      <c r="F31" s="23" t="s">
        <v>87</v>
      </c>
      <c r="G31" s="23" t="s">
        <v>88</v>
      </c>
      <c r="H31" s="24">
        <f>H26/D28</f>
        <v>311.85730582990624</v>
      </c>
      <c r="I31" s="19"/>
    </row>
    <row r="32" spans="2:19">
      <c r="B32" s="97"/>
      <c r="C32" s="97"/>
      <c r="D32" s="89"/>
      <c r="E32"/>
      <c r="F32" s="10" t="s">
        <v>89</v>
      </c>
      <c r="G32" s="10" t="s">
        <v>90</v>
      </c>
      <c r="H32" s="22">
        <f>H31*D11</f>
        <v>30.57424566959865</v>
      </c>
      <c r="I32" s="19"/>
    </row>
    <row r="33" spans="2:16">
      <c r="B33" s="23" t="s">
        <v>91</v>
      </c>
      <c r="C33" s="23" t="s">
        <v>92</v>
      </c>
      <c r="D33" s="29">
        <f>H26/H28</f>
        <v>497.55555555555554</v>
      </c>
      <c r="E33" s="45">
        <f>D33/$D$35</f>
        <v>0.10160435809983324</v>
      </c>
      <c r="F33" s="10"/>
      <c r="G33" s="10"/>
      <c r="H33" s="40"/>
      <c r="I33" s="46"/>
    </row>
    <row r="34" spans="2:16">
      <c r="B34" s="10"/>
      <c r="C34" s="10"/>
      <c r="D34" s="18"/>
      <c r="E34" s="40"/>
      <c r="F34" s="10" t="s">
        <v>93</v>
      </c>
      <c r="G34" s="10" t="s">
        <v>94</v>
      </c>
      <c r="H34" s="90">
        <f>D17</f>
        <v>0.48085714285714282</v>
      </c>
      <c r="I34" s="19"/>
    </row>
    <row r="35" spans="2:16">
      <c r="B35" s="23" t="s">
        <v>95</v>
      </c>
      <c r="C35" s="23" t="s">
        <v>96</v>
      </c>
      <c r="D35" s="29">
        <f>D26+D33</f>
        <v>4896.990295107943</v>
      </c>
      <c r="E35" s="45">
        <f>D35/$D$35</f>
        <v>1</v>
      </c>
      <c r="F35" s="10" t="s">
        <v>97</v>
      </c>
      <c r="G35" s="10" t="s">
        <v>98</v>
      </c>
      <c r="H35" s="21">
        <v>8</v>
      </c>
      <c r="I35" s="46"/>
      <c r="L35" s="96" t="s">
        <v>109</v>
      </c>
      <c r="M35" s="89"/>
      <c r="N35" s="89"/>
      <c r="O35" s="89"/>
      <c r="P35" s="89"/>
    </row>
    <row r="36" spans="2:16">
      <c r="B36" s="10"/>
      <c r="C36" s="10"/>
      <c r="D36" s="18"/>
      <c r="E36" s="40"/>
      <c r="F36" s="10" t="s">
        <v>99</v>
      </c>
      <c r="G36" s="10" t="s">
        <v>100</v>
      </c>
      <c r="H36" s="91">
        <v>250</v>
      </c>
      <c r="I36" s="19"/>
    </row>
    <row r="37" spans="2:16">
      <c r="B37" s="23" t="s">
        <v>101</v>
      </c>
      <c r="C37" s="23" t="s">
        <v>102</v>
      </c>
      <c r="D37" s="29">
        <f>D8-D35</f>
        <v>220.40100923988302</v>
      </c>
      <c r="E37" s="45"/>
      <c r="F37" s="23" t="s">
        <v>103</v>
      </c>
      <c r="G37" s="23" t="s">
        <v>104</v>
      </c>
      <c r="H37" s="29">
        <f>H34*H35*H36</f>
        <v>961.71428571428567</v>
      </c>
      <c r="I37" s="46"/>
    </row>
    <row r="38" spans="2:16">
      <c r="B38" s="30"/>
      <c r="C38" s="30"/>
      <c r="D38" s="92"/>
      <c r="E38" s="92"/>
      <c r="F38" s="30" t="s">
        <v>105</v>
      </c>
      <c r="G38" s="30" t="s">
        <v>106</v>
      </c>
      <c r="H38" s="93">
        <f>H28/H37</f>
        <v>0.46791443850267384</v>
      </c>
      <c r="I38" s="32"/>
    </row>
    <row r="39" spans="2:16">
      <c r="B39" s="94" t="s">
        <v>107</v>
      </c>
      <c r="C39" s="95" t="s">
        <v>108</v>
      </c>
      <c r="D39" s="92"/>
      <c r="E39" s="92"/>
      <c r="F39" s="92"/>
      <c r="G39" s="92"/>
      <c r="H39" s="92"/>
      <c r="I39" s="32"/>
    </row>
  </sheetData>
  <phoneticPr fontId="19" type="noConversion"/>
  <pageMargins left="0.75" right="0.75" top="1" bottom="1" header="0.5" footer="0.5"/>
  <pageSetup paperSize="9" orientation="portrait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Goudse 150g (4801)</vt:lpstr>
      <vt:lpstr>Goudse 150g (4800)</vt:lpstr>
      <vt:lpstr>'Goudse 150g (4800)'!ROE</vt:lpstr>
      <vt:lpstr>'Goudse 150g (4801)'!ROE</vt:lpstr>
    </vt:vector>
  </TitlesOfParts>
  <Company>ACC Business Creation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</cp:lastModifiedBy>
  <dcterms:created xsi:type="dcterms:W3CDTF">2010-11-04T11:01:40Z</dcterms:created>
  <dcterms:modified xsi:type="dcterms:W3CDTF">2012-04-06T14:21:23Z</dcterms:modified>
</cp:coreProperties>
</file>