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\OneDrive\Documents\GF_Website\"/>
    </mc:Choice>
  </mc:AlternateContent>
  <xr:revisionPtr revIDLastSave="16" documentId="11_07F603B391CA40B1BFB9D1D3338062C31D558A12" xr6:coauthVersionLast="36" xr6:coauthVersionMax="36" xr10:uidLastSave="{554BB80B-7046-4803-A499-37EC270E9B10}"/>
  <bookViews>
    <workbookView xWindow="0" yWindow="252" windowWidth="15168" windowHeight="9000" xr2:uid="{00000000-000D-0000-FFFF-FFFF00000000}"/>
  </bookViews>
  <sheets>
    <sheet name="Tomato paste" sheetId="1" r:id="rId1"/>
  </sheets>
  <definedNames>
    <definedName name="_xlnm.Print_Area" localSheetId="0">'Tomato paste'!$A$1:$H$39</definedName>
    <definedName name="ROE">'Tomato paste'!$J$2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" i="1" l="1"/>
  <c r="C7" i="1"/>
  <c r="D7" i="1" s="1"/>
  <c r="C10" i="1"/>
  <c r="C12" i="1"/>
  <c r="C14" i="1" s="1"/>
  <c r="C16" i="1"/>
  <c r="C18" i="1"/>
  <c r="C20" i="1"/>
  <c r="C22" i="1" s="1"/>
  <c r="C21" i="1"/>
  <c r="F10" i="1"/>
  <c r="F12" i="1" s="1"/>
  <c r="F19" i="1"/>
  <c r="F20" i="1"/>
  <c r="D5" i="1"/>
  <c r="F33" i="1"/>
  <c r="F36" i="1"/>
  <c r="F37" i="1" s="1"/>
  <c r="F31" i="1"/>
  <c r="C6" i="1"/>
  <c r="D6" i="1"/>
  <c r="C8" i="1"/>
  <c r="C25" i="1" l="1"/>
  <c r="D22" i="1"/>
  <c r="C27" i="1"/>
  <c r="F5" i="1"/>
  <c r="D8" i="1"/>
  <c r="F21" i="1"/>
  <c r="F14" i="1"/>
  <c r="F16" i="1" s="1"/>
  <c r="F28" i="1" l="1"/>
  <c r="C28" i="1"/>
  <c r="C30" i="1"/>
  <c r="D25" i="1"/>
  <c r="D13" i="1"/>
  <c r="D18" i="1"/>
  <c r="F23" i="1"/>
  <c r="G21" i="1" s="1"/>
  <c r="D14" i="1"/>
  <c r="D12" i="1"/>
  <c r="G20" i="1" l="1"/>
  <c r="F25" i="1"/>
  <c r="G23" i="1"/>
  <c r="G19" i="1"/>
  <c r="G12" i="1"/>
  <c r="G16" i="1"/>
  <c r="C32" i="1" l="1"/>
  <c r="F30" i="1"/>
  <c r="F6" i="1"/>
  <c r="F7" i="1" s="1"/>
  <c r="F8" i="1" s="1"/>
  <c r="C34" i="1" l="1"/>
  <c r="D34" i="1" l="1"/>
  <c r="C36" i="1"/>
  <c r="D36" i="1" s="1"/>
  <c r="D30" i="1"/>
  <c r="D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Olivier van Lieshout</author>
    <author>Samat</author>
  </authors>
  <commentList>
    <comment ref="C5" authorId="0" shapeId="0" xr:uid="{00000000-0006-0000-0000-000001000000}">
      <text>
        <r>
          <rPr>
            <b/>
            <sz val="8"/>
            <color indexed="81"/>
            <rFont val="Tahoma"/>
          </rPr>
          <t>Olivier van Lieshout:</t>
        </r>
        <r>
          <rPr>
            <sz val="8"/>
            <color indexed="81"/>
            <rFont val="Tahoma"/>
          </rPr>
          <t xml:space="preserve">
35000 roubel per ton
koers = 35 roebel/$</t>
        </r>
      </text>
    </comment>
    <comment ref="C7" authorId="1" shapeId="0" xr:uid="{00000000-0006-0000-0000-000002000000}">
      <text>
        <r>
          <rPr>
            <b/>
            <sz val="8"/>
            <color indexed="81"/>
            <rFont val="Tahoma"/>
            <charset val="204"/>
          </rPr>
          <t xml:space="preserve">Roman: </t>
        </r>
        <r>
          <rPr>
            <sz val="8"/>
            <color indexed="81"/>
            <rFont val="Tahoma"/>
            <family val="2"/>
            <charset val="204"/>
          </rPr>
          <t>$114 transport per ton
from Kyrgyzstan to Moscow by rail</t>
        </r>
      </text>
    </comment>
    <comment ref="C16" authorId="0" shapeId="0" xr:uid="{00000000-0006-0000-0000-000003000000}">
      <text>
        <r>
          <rPr>
            <b/>
            <sz val="8"/>
            <color indexed="81"/>
            <rFont val="Tahoma"/>
          </rPr>
          <t>Olivier van Lieshout:</t>
        </r>
        <r>
          <rPr>
            <sz val="8"/>
            <color indexed="81"/>
            <rFont val="Tahoma"/>
          </rPr>
          <t xml:space="preserve">
</t>
        </r>
        <r>
          <rPr>
            <sz val="12"/>
            <color indexed="81"/>
            <rFont val="Tahoma"/>
            <family val="2"/>
            <charset val="204"/>
          </rPr>
          <t>steam us</t>
        </r>
        <r>
          <rPr>
            <sz val="12"/>
            <color indexed="81"/>
            <rFont val="Tahoma"/>
            <family val="2"/>
          </rPr>
          <t>e: 6.0 tonnes per hour *KGS 621 per hour (2006)
electricity use: KGS 459 per hour
labor: KGS 168 per hour
output: 2000 kg per hour</t>
        </r>
      </text>
    </comment>
    <comment ref="C20" authorId="1" shapeId="0" xr:uid="{00000000-0006-0000-0000-000004000000}">
      <text>
        <r>
          <rPr>
            <b/>
            <sz val="8"/>
            <color indexed="81"/>
            <rFont val="Tahoma"/>
            <charset val="204"/>
          </rPr>
          <t xml:space="preserve">Roman: </t>
        </r>
        <r>
          <rPr>
            <sz val="8"/>
            <color indexed="81"/>
            <rFont val="Tahoma"/>
            <family val="2"/>
            <charset val="204"/>
          </rPr>
          <t xml:space="preserve">Aseptic bag - €3.2*51 + iron barrel - 600 som excl VAT
</t>
        </r>
      </text>
    </comment>
  </commentList>
</comments>
</file>

<file path=xl/sharedStrings.xml><?xml version="1.0" encoding="utf-8"?>
<sst xmlns="http://schemas.openxmlformats.org/spreadsheetml/2006/main" count="55" uniqueCount="54">
  <si>
    <t>USD</t>
  </si>
  <si>
    <t>Price (DDP Moscow)</t>
  </si>
  <si>
    <t>Total Revenue</t>
  </si>
  <si>
    <t>Import duties, 10%</t>
  </si>
  <si>
    <t>Total Cost</t>
  </si>
  <si>
    <t>Transport, sales commission 3%</t>
  </si>
  <si>
    <t>Profit Before Tax</t>
  </si>
  <si>
    <t>Price (EXW)</t>
  </si>
  <si>
    <t>Asset value</t>
  </si>
  <si>
    <t>Depreciation %</t>
  </si>
  <si>
    <t>Raw Material cost</t>
  </si>
  <si>
    <t>FC1</t>
  </si>
  <si>
    <t>Other ingredients</t>
  </si>
  <si>
    <t>VC1</t>
  </si>
  <si>
    <t>Debt (40% of Asset value)</t>
  </si>
  <si>
    <t>Interest rate</t>
  </si>
  <si>
    <t>Production cost per hour (steam, electricity)</t>
  </si>
  <si>
    <t>FC2</t>
  </si>
  <si>
    <t>Production volume per hour (ton/hour)</t>
  </si>
  <si>
    <t>VC2</t>
  </si>
  <si>
    <t>Number of FTE employed</t>
  </si>
  <si>
    <t>Salaries staff incl. social taxes</t>
  </si>
  <si>
    <t>Other overhead, repairs, maintenance</t>
  </si>
  <si>
    <t>Cost of packing (aseptic bag, drum)</t>
  </si>
  <si>
    <t>FC3</t>
  </si>
  <si>
    <t>Number of drums per ton</t>
  </si>
  <si>
    <t>VC3</t>
  </si>
  <si>
    <t>FC</t>
  </si>
  <si>
    <t>FC % attributed to product</t>
  </si>
  <si>
    <t>VC</t>
  </si>
  <si>
    <t>FC (attributed to product)</t>
  </si>
  <si>
    <t>Volume sold q (ton)</t>
  </si>
  <si>
    <t>Contribution</t>
  </si>
  <si>
    <t>Break even volume (sales)</t>
  </si>
  <si>
    <t>Break even volume (raw material)</t>
  </si>
  <si>
    <t>Working hours per day</t>
  </si>
  <si>
    <t>Length of harvesting season in days</t>
  </si>
  <si>
    <t>Capacity utilization %</t>
  </si>
  <si>
    <r>
      <t xml:space="preserve">Note: figures in </t>
    </r>
    <r>
      <rPr>
        <b/>
        <i/>
        <sz val="10"/>
        <color indexed="12"/>
        <rFont val="Arial"/>
        <family val="2"/>
      </rPr>
      <t>blue</t>
    </r>
    <r>
      <rPr>
        <i/>
        <sz val="10"/>
        <rFont val="Arial"/>
        <family val="2"/>
      </rPr>
      <t xml:space="preserve"> are assumptions; figures in </t>
    </r>
    <r>
      <rPr>
        <b/>
        <i/>
        <sz val="10"/>
        <color indexed="14"/>
        <rFont val="Arial"/>
        <family val="2"/>
      </rPr>
      <t>pink</t>
    </r>
    <r>
      <rPr>
        <i/>
        <sz val="10"/>
        <rFont val="Arial"/>
        <family val="2"/>
      </rPr>
      <t xml:space="preserve"> are calculated in another sheet; figures in </t>
    </r>
    <r>
      <rPr>
        <b/>
        <i/>
        <sz val="10"/>
        <rFont val="Arial"/>
        <family val="2"/>
      </rPr>
      <t>black</t>
    </r>
    <r>
      <rPr>
        <i/>
        <sz val="10"/>
        <rFont val="Arial"/>
        <family val="2"/>
      </rPr>
      <t xml:space="preserve"> are formulas</t>
    </r>
  </si>
  <si>
    <t>per ton</t>
  </si>
  <si>
    <t>per year</t>
  </si>
  <si>
    <t>Profitability %</t>
  </si>
  <si>
    <t>Price (Raw Material, delivered factory)</t>
  </si>
  <si>
    <t>Output capacity per hour in ton</t>
  </si>
  <si>
    <t>Max. output capacity per year</t>
  </si>
  <si>
    <t>FG losses %</t>
  </si>
  <si>
    <t>Processing ratio (kg RM for 1 kg FG)</t>
  </si>
  <si>
    <t>Fixed Cost per unit (FC/q)</t>
  </si>
  <si>
    <t>Total Cost per unit (VC+FC/q)</t>
  </si>
  <si>
    <t>Variable Cost per unit (VC)</t>
  </si>
  <si>
    <t>Profit per unit (P-VC-FC/q)</t>
  </si>
  <si>
    <t>CB1 - Tomato paste 25 Brix, aseptic bags of 220 kg in steel drums</t>
  </si>
  <si>
    <t>Margin</t>
  </si>
  <si>
    <t>Margin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</si>
</sst>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0.0"/>
    <numFmt numFmtId="167" formatCode="#,##0.0"/>
    <numFmt numFmtId="168" formatCode="_-* #,##0.0_-;\-* #,##0.0_-;_-* &quot;-&quot;??_-;_-@_-"/>
    <numFmt numFmtId="169" formatCode="0.0000"/>
  </numFmts>
  <fonts count="20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sz val="10"/>
      <color indexed="12"/>
      <name val="Arial"/>
    </font>
    <font>
      <i/>
      <sz val="10"/>
      <name val="Arial"/>
      <family val="2"/>
    </font>
    <font>
      <b/>
      <i/>
      <sz val="10"/>
      <color indexed="12"/>
      <name val="Arial"/>
      <family val="2"/>
    </font>
    <font>
      <b/>
      <i/>
      <sz val="10"/>
      <color indexed="14"/>
      <name val="Arial"/>
      <family val="2"/>
    </font>
    <font>
      <b/>
      <i/>
      <sz val="10"/>
      <name val="Arial"/>
      <family val="2"/>
    </font>
    <font>
      <b/>
      <sz val="8"/>
      <color indexed="81"/>
      <name val="Tahoma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</font>
    <font>
      <sz val="8"/>
      <color indexed="81"/>
      <name val="Tahoma"/>
    </font>
    <font>
      <sz val="12"/>
      <color indexed="81"/>
      <name val="Tahoma"/>
      <family val="2"/>
      <charset val="204"/>
    </font>
    <font>
      <sz val="12"/>
      <color indexed="81"/>
      <name val="Tahoma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0" fillId="2" borderId="1" xfId="0" applyFill="1" applyBorder="1"/>
    <xf numFmtId="164" fontId="3" fillId="2" borderId="2" xfId="1" applyNumberFormat="1" applyFont="1" applyFill="1" applyBorder="1" applyAlignment="1">
      <alignment horizontal="center"/>
    </xf>
    <xf numFmtId="0" fontId="0" fillId="2" borderId="3" xfId="0" applyFill="1" applyBorder="1"/>
    <xf numFmtId="0" fontId="0" fillId="2" borderId="2" xfId="0" applyFill="1" applyBorder="1"/>
    <xf numFmtId="0" fontId="3" fillId="2" borderId="2" xfId="0" applyFont="1" applyFill="1" applyBorder="1" applyAlignment="1">
      <alignment horizontal="center"/>
    </xf>
    <xf numFmtId="0" fontId="0" fillId="2" borderId="4" xfId="0" applyFill="1" applyBorder="1"/>
    <xf numFmtId="164" fontId="3" fillId="2" borderId="0" xfId="1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2" borderId="5" xfId="0" applyFill="1" applyBorder="1"/>
    <xf numFmtId="0" fontId="0" fillId="2" borderId="0" xfId="0" applyFill="1" applyBorder="1"/>
    <xf numFmtId="164" fontId="1" fillId="2" borderId="0" xfId="1" applyNumberFormat="1" applyFill="1" applyBorder="1"/>
    <xf numFmtId="164" fontId="0" fillId="2" borderId="0" xfId="0" applyNumberFormat="1" applyFill="1" applyBorder="1"/>
    <xf numFmtId="164" fontId="3" fillId="2" borderId="0" xfId="0" applyNumberFormat="1" applyFont="1" applyFill="1" applyBorder="1"/>
    <xf numFmtId="0" fontId="3" fillId="2" borderId="4" xfId="0" applyFont="1" applyFill="1" applyBorder="1"/>
    <xf numFmtId="164" fontId="3" fillId="2" borderId="0" xfId="1" applyNumberFormat="1" applyFont="1" applyFill="1" applyBorder="1"/>
    <xf numFmtId="164" fontId="1" fillId="2" borderId="2" xfId="1" applyNumberFormat="1" applyFill="1" applyBorder="1"/>
    <xf numFmtId="166" fontId="4" fillId="2" borderId="0" xfId="0" applyNumberFormat="1" applyFont="1" applyFill="1" applyBorder="1"/>
    <xf numFmtId="9" fontId="5" fillId="2" borderId="0" xfId="2" applyNumberFormat="1" applyFont="1" applyFill="1" applyBorder="1" applyAlignment="1">
      <alignment horizontal="left"/>
    </xf>
    <xf numFmtId="9" fontId="5" fillId="2" borderId="5" xfId="2" applyNumberFormat="1" applyFont="1" applyFill="1" applyBorder="1" applyAlignment="1">
      <alignment horizontal="left"/>
    </xf>
    <xf numFmtId="164" fontId="3" fillId="2" borderId="0" xfId="1" applyNumberFormat="1" applyFont="1" applyFill="1" applyBorder="1" applyAlignment="1">
      <alignment horizontal="left" indent="1"/>
    </xf>
    <xf numFmtId="0" fontId="3" fillId="2" borderId="6" xfId="0" applyFont="1" applyFill="1" applyBorder="1"/>
    <xf numFmtId="164" fontId="3" fillId="2" borderId="7" xfId="1" applyNumberFormat="1" applyFont="1" applyFill="1" applyBorder="1"/>
    <xf numFmtId="9" fontId="5" fillId="2" borderId="7" xfId="2" applyNumberFormat="1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5" fillId="2" borderId="6" xfId="0" applyFont="1" applyFill="1" applyBorder="1"/>
    <xf numFmtId="0" fontId="3" fillId="2" borderId="4" xfId="0" applyFont="1" applyFill="1" applyBorder="1" applyAlignment="1">
      <alignment horizontal="center"/>
    </xf>
    <xf numFmtId="9" fontId="1" fillId="2" borderId="7" xfId="2" applyFill="1" applyBorder="1"/>
    <xf numFmtId="164" fontId="4" fillId="2" borderId="11" xfId="1" applyNumberFormat="1" applyFont="1" applyFill="1" applyBorder="1"/>
    <xf numFmtId="1" fontId="4" fillId="2" borderId="11" xfId="0" applyNumberFormat="1" applyFont="1" applyFill="1" applyBorder="1"/>
    <xf numFmtId="166" fontId="4" fillId="2" borderId="11" xfId="0" applyNumberFormat="1" applyFont="1" applyFill="1" applyBorder="1"/>
    <xf numFmtId="0" fontId="4" fillId="2" borderId="11" xfId="0" applyFont="1" applyFill="1" applyBorder="1"/>
    <xf numFmtId="167" fontId="4" fillId="2" borderId="11" xfId="0" applyNumberFormat="1" applyFont="1" applyFill="1" applyBorder="1"/>
    <xf numFmtId="165" fontId="4" fillId="2" borderId="11" xfId="0" applyNumberFormat="1" applyFont="1" applyFill="1" applyBorder="1"/>
    <xf numFmtId="168" fontId="1" fillId="2" borderId="11" xfId="1" applyNumberFormat="1" applyFont="1" applyFill="1" applyBorder="1"/>
    <xf numFmtId="0" fontId="15" fillId="3" borderId="12" xfId="0" applyFont="1" applyFill="1" applyBorder="1"/>
    <xf numFmtId="164" fontId="16" fillId="3" borderId="10" xfId="1" applyNumberFormat="1" applyFont="1" applyFill="1" applyBorder="1"/>
    <xf numFmtId="0" fontId="16" fillId="3" borderId="9" xfId="0" applyFont="1" applyFill="1" applyBorder="1"/>
    <xf numFmtId="0" fontId="16" fillId="3" borderId="10" xfId="0" applyFont="1" applyFill="1" applyBorder="1"/>
    <xf numFmtId="0" fontId="0" fillId="0" borderId="4" xfId="0" applyBorder="1"/>
    <xf numFmtId="0" fontId="0" fillId="0" borderId="0" xfId="0" applyBorder="1"/>
    <xf numFmtId="9" fontId="5" fillId="2" borderId="5" xfId="2" applyFont="1" applyFill="1" applyBorder="1" applyAlignment="1">
      <alignment horizontal="left"/>
    </xf>
    <xf numFmtId="9" fontId="5" fillId="2" borderId="8" xfId="2" applyFont="1" applyFill="1" applyBorder="1" applyAlignment="1">
      <alignment horizontal="left"/>
    </xf>
    <xf numFmtId="9" fontId="5" fillId="2" borderId="8" xfId="2" applyNumberFormat="1" applyFont="1" applyFill="1" applyBorder="1" applyAlignment="1">
      <alignment horizontal="left"/>
    </xf>
    <xf numFmtId="165" fontId="4" fillId="2" borderId="0" xfId="2" applyNumberFormat="1" applyFont="1" applyFill="1" applyBorder="1"/>
    <xf numFmtId="0" fontId="3" fillId="2" borderId="1" xfId="0" applyFont="1" applyFill="1" applyBorder="1"/>
    <xf numFmtId="169" fontId="0" fillId="2" borderId="5" xfId="0" applyNumberFormat="1" applyFill="1" applyBorder="1"/>
    <xf numFmtId="164" fontId="3" fillId="2" borderId="7" xfId="0" applyNumberFormat="1" applyFont="1" applyFill="1" applyBorder="1"/>
    <xf numFmtId="164" fontId="3" fillId="2" borderId="2" xfId="1" applyNumberFormat="1" applyFont="1" applyFill="1" applyBorder="1"/>
    <xf numFmtId="164" fontId="3" fillId="2" borderId="2" xfId="0" applyNumberFormat="1" applyFont="1" applyFill="1" applyBorder="1"/>
    <xf numFmtId="9" fontId="5" fillId="2" borderId="2" xfId="2" applyNumberFormat="1" applyFont="1" applyFill="1" applyBorder="1" applyAlignment="1">
      <alignment horizontal="left"/>
    </xf>
    <xf numFmtId="168" fontId="3" fillId="2" borderId="0" xfId="1" applyNumberFormat="1" applyFont="1" applyFill="1" applyBorder="1"/>
    <xf numFmtId="9" fontId="17" fillId="2" borderId="0" xfId="2" applyFont="1" applyFill="1" applyBorder="1"/>
    <xf numFmtId="165" fontId="18" fillId="2" borderId="7" xfId="2" applyNumberFormat="1" applyFont="1" applyFill="1" applyBorder="1"/>
    <xf numFmtId="0" fontId="0" fillId="5" borderId="0" xfId="0" applyFill="1"/>
    <xf numFmtId="0" fontId="4" fillId="5" borderId="0" xfId="0" applyFont="1" applyFill="1"/>
    <xf numFmtId="164" fontId="0" fillId="5" borderId="0" xfId="0" applyNumberFormat="1" applyFill="1"/>
    <xf numFmtId="0" fontId="19" fillId="6" borderId="9" xfId="0" applyFont="1" applyFill="1" applyBorder="1" applyAlignment="1">
      <alignment horizontal="center"/>
    </xf>
    <xf numFmtId="0" fontId="17" fillId="2" borderId="4" xfId="0" applyFont="1" applyFill="1" applyBorder="1"/>
    <xf numFmtId="17" fontId="19" fillId="6" borderId="10" xfId="0" applyNumberFormat="1" applyFont="1" applyFill="1" applyBorder="1" applyAlignment="1">
      <alignment horizontal="center"/>
    </xf>
    <xf numFmtId="9" fontId="5" fillId="4" borderId="0" xfId="2" applyNumberFormat="1" applyFont="1" applyFill="1" applyBorder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9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66FF33"/>
        </patternFill>
      </fill>
    </dxf>
    <dxf>
      <fill>
        <patternFill>
          <bgColor rgb="FFF8E708"/>
        </patternFill>
      </fill>
    </dxf>
    <dxf>
      <fill>
        <patternFill>
          <bgColor rgb="FF00FF00"/>
        </patternFill>
      </fill>
    </dxf>
    <dxf>
      <fill>
        <patternFill>
          <bgColor rgb="FFFF66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66FF33"/>
        </patternFill>
      </fill>
    </dxf>
  </dxfs>
  <tableStyles count="0" defaultTableStyle="TableStyleMedium9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5"/>
    <pageSetUpPr fitToPage="1"/>
  </sheetPr>
  <dimension ref="B2:K40"/>
  <sheetViews>
    <sheetView tabSelected="1" view="pageBreakPreview" zoomScale="60" zoomScaleNormal="90" workbookViewId="0">
      <selection activeCell="M48" sqref="M48"/>
    </sheetView>
  </sheetViews>
  <sheetFormatPr defaultColWidth="9.109375" defaultRowHeight="13.2"/>
  <cols>
    <col min="1" max="1" width="2" style="57" customWidth="1"/>
    <col min="2" max="2" width="40.33203125" style="57" customWidth="1"/>
    <col min="3" max="3" width="9" style="57" customWidth="1"/>
    <col min="4" max="4" width="6.88671875" style="57" customWidth="1"/>
    <col min="5" max="5" width="36.44140625" style="57" customWidth="1"/>
    <col min="6" max="6" width="13.33203125" style="57" customWidth="1"/>
    <col min="7" max="7" width="6.44140625" style="57" customWidth="1"/>
    <col min="8" max="8" width="3.6640625" style="57" customWidth="1"/>
    <col min="9" max="11" width="9.109375" style="57"/>
    <col min="12" max="12" width="10.5546875" style="57" bestFit="1" customWidth="1"/>
    <col min="13" max="13" width="10.88671875" style="57" customWidth="1"/>
    <col min="14" max="14" width="9.109375" style="57"/>
    <col min="15" max="15" width="14.5546875" style="57" bestFit="1" customWidth="1"/>
    <col min="16" max="16384" width="9.109375" style="57"/>
  </cols>
  <sheetData>
    <row r="2" spans="2:11">
      <c r="B2" s="38" t="s">
        <v>51</v>
      </c>
      <c r="C2" s="39"/>
      <c r="D2" s="40"/>
      <c r="E2" s="41"/>
      <c r="F2" s="62">
        <v>42156</v>
      </c>
      <c r="G2" s="60"/>
      <c r="J2" s="58"/>
      <c r="K2" s="58"/>
    </row>
    <row r="3" spans="2:11">
      <c r="B3" s="1"/>
      <c r="C3" s="2" t="s">
        <v>0</v>
      </c>
      <c r="D3" s="3"/>
      <c r="E3" s="1"/>
      <c r="F3" s="5" t="s">
        <v>0</v>
      </c>
      <c r="G3" s="3"/>
    </row>
    <row r="4" spans="2:11">
      <c r="B4" s="6"/>
      <c r="C4" s="7" t="s">
        <v>39</v>
      </c>
      <c r="D4" s="8"/>
      <c r="E4" s="29"/>
      <c r="F4" s="9" t="s">
        <v>40</v>
      </c>
      <c r="G4" s="8"/>
    </row>
    <row r="5" spans="2:11">
      <c r="B5" s="6" t="s">
        <v>1</v>
      </c>
      <c r="C5" s="31">
        <f>35000/35</f>
        <v>1000</v>
      </c>
      <c r="D5" s="44">
        <f>C5/$C$5</f>
        <v>1</v>
      </c>
      <c r="E5" s="6" t="s">
        <v>2</v>
      </c>
      <c r="F5" s="12">
        <f>C8*F27</f>
        <v>2721600</v>
      </c>
      <c r="G5" s="10"/>
    </row>
    <row r="6" spans="2:11">
      <c r="B6" s="6" t="s">
        <v>3</v>
      </c>
      <c r="C6" s="31">
        <f>10%*C5</f>
        <v>100</v>
      </c>
      <c r="D6" s="44">
        <f>C6/$C$5</f>
        <v>0.1</v>
      </c>
      <c r="E6" s="6" t="s">
        <v>4</v>
      </c>
      <c r="F6" s="13">
        <f>C25*F27+F25</f>
        <v>2554376.5085909092</v>
      </c>
      <c r="G6" s="10"/>
    </row>
    <row r="7" spans="2:11">
      <c r="B7" s="6" t="s">
        <v>5</v>
      </c>
      <c r="C7" s="31">
        <f>114+3%*C5</f>
        <v>144</v>
      </c>
      <c r="D7" s="44">
        <f>C7/$C$5</f>
        <v>0.14399999999999999</v>
      </c>
      <c r="E7" s="15" t="s">
        <v>6</v>
      </c>
      <c r="F7" s="14">
        <f>F5-F6</f>
        <v>167223.49140909081</v>
      </c>
      <c r="G7" s="10"/>
    </row>
    <row r="8" spans="2:11">
      <c r="B8" s="22" t="s">
        <v>7</v>
      </c>
      <c r="C8" s="23">
        <f>C5-C7-C6</f>
        <v>756</v>
      </c>
      <c r="D8" s="45">
        <f>C8/C5</f>
        <v>0.75600000000000001</v>
      </c>
      <c r="E8" s="6" t="s">
        <v>41</v>
      </c>
      <c r="F8" s="55">
        <f>F7/F5</f>
        <v>6.1443081793463701E-2</v>
      </c>
      <c r="G8" s="10"/>
    </row>
    <row r="9" spans="2:11">
      <c r="B9" s="1"/>
      <c r="C9" s="17"/>
      <c r="D9" s="4"/>
      <c r="E9" s="1"/>
      <c r="F9" s="4"/>
      <c r="G9" s="3"/>
    </row>
    <row r="10" spans="2:11">
      <c r="B10" s="6" t="s">
        <v>42</v>
      </c>
      <c r="C10" s="32">
        <f>2.5*1000/35*1</f>
        <v>71.428571428571431</v>
      </c>
      <c r="D10" s="11"/>
      <c r="E10" s="6" t="s">
        <v>8</v>
      </c>
      <c r="F10" s="31">
        <f>35000000*1.8/35</f>
        <v>1800000</v>
      </c>
      <c r="G10" s="10"/>
    </row>
    <row r="11" spans="2:11">
      <c r="B11" s="6" t="s">
        <v>46</v>
      </c>
      <c r="C11" s="33">
        <v>6</v>
      </c>
      <c r="D11" s="11"/>
      <c r="E11" s="6" t="s">
        <v>9</v>
      </c>
      <c r="F11" s="36">
        <v>7.7777777777777793E-2</v>
      </c>
      <c r="G11" s="10"/>
    </row>
    <row r="12" spans="2:11">
      <c r="B12" s="6" t="s">
        <v>10</v>
      </c>
      <c r="C12" s="12">
        <f>C10*C11</f>
        <v>428.57142857142856</v>
      </c>
      <c r="D12" s="19">
        <f>C12/$C$25</f>
        <v>0.69813282472029936</v>
      </c>
      <c r="E12" s="15" t="s">
        <v>11</v>
      </c>
      <c r="F12" s="14">
        <f>F10*F11</f>
        <v>140000.00000000003</v>
      </c>
      <c r="G12" s="20">
        <f>F12/$F$23</f>
        <v>0.40650406563081315</v>
      </c>
    </row>
    <row r="13" spans="2:11">
      <c r="B13" s="6" t="s">
        <v>12</v>
      </c>
      <c r="C13" s="31">
        <v>12</v>
      </c>
      <c r="D13" s="19">
        <f>C13/$C$25</f>
        <v>1.9547719092168382E-2</v>
      </c>
      <c r="E13" s="6"/>
      <c r="F13" s="11"/>
      <c r="G13" s="20"/>
    </row>
    <row r="14" spans="2:11">
      <c r="B14" s="15" t="s">
        <v>13</v>
      </c>
      <c r="C14" s="16">
        <f>C12+C13</f>
        <v>440.57142857142856</v>
      </c>
      <c r="D14" s="19">
        <f>C14/$C$25</f>
        <v>0.71768054381246771</v>
      </c>
      <c r="E14" s="6" t="s">
        <v>14</v>
      </c>
      <c r="F14" s="31">
        <f>F10*40%</f>
        <v>720000</v>
      </c>
      <c r="G14" s="20"/>
    </row>
    <row r="15" spans="2:11">
      <c r="B15" s="6"/>
      <c r="C15" s="12"/>
      <c r="D15" s="11"/>
      <c r="E15" s="6" t="s">
        <v>15</v>
      </c>
      <c r="F15" s="36">
        <v>0.18666666666666668</v>
      </c>
      <c r="G15" s="10"/>
    </row>
    <row r="16" spans="2:11">
      <c r="B16" s="6" t="s">
        <v>16</v>
      </c>
      <c r="C16" s="31">
        <f>(3724+459+168)/35</f>
        <v>124.31428571428572</v>
      </c>
      <c r="D16" s="18"/>
      <c r="E16" s="15" t="s">
        <v>17</v>
      </c>
      <c r="F16" s="14">
        <f>F14*F15</f>
        <v>134400</v>
      </c>
      <c r="G16" s="20">
        <f>F16/$F$23</f>
        <v>0.39024390300558054</v>
      </c>
    </row>
    <row r="17" spans="2:7">
      <c r="B17" s="6" t="s">
        <v>18</v>
      </c>
      <c r="C17" s="34">
        <v>2</v>
      </c>
      <c r="D17" s="11"/>
      <c r="E17" s="6"/>
      <c r="F17" s="11"/>
      <c r="G17" s="10"/>
    </row>
    <row r="18" spans="2:7">
      <c r="B18" s="15" t="s">
        <v>19</v>
      </c>
      <c r="C18" s="16">
        <f>C16/C17</f>
        <v>62.157142857142858</v>
      </c>
      <c r="D18" s="19">
        <f>C18/$C$25</f>
        <v>0.10125253067860075</v>
      </c>
      <c r="E18" s="6" t="s">
        <v>20</v>
      </c>
      <c r="F18" s="31">
        <v>15</v>
      </c>
      <c r="G18" s="20"/>
    </row>
    <row r="19" spans="2:7">
      <c r="B19" s="15"/>
      <c r="C19" s="16"/>
      <c r="D19" s="19"/>
      <c r="E19" s="6" t="s">
        <v>21</v>
      </c>
      <c r="F19" s="31">
        <f>3333.3333*F18</f>
        <v>49999.999499999998</v>
      </c>
      <c r="G19" s="20">
        <f>F19/$F$23</f>
        <v>0.14518002198777585</v>
      </c>
    </row>
    <row r="20" spans="2:7">
      <c r="B20" s="6" t="s">
        <v>23</v>
      </c>
      <c r="C20" s="35">
        <f>(3.2*51+600)/35</f>
        <v>21.805714285714288</v>
      </c>
      <c r="D20" s="11"/>
      <c r="E20" s="6" t="s">
        <v>22</v>
      </c>
      <c r="F20" s="31">
        <f>700000/35</f>
        <v>20000</v>
      </c>
      <c r="G20" s="20">
        <f>F20/$F$23</f>
        <v>5.8072009375830437E-2</v>
      </c>
    </row>
    <row r="21" spans="2:7">
      <c r="B21" s="6" t="s">
        <v>25</v>
      </c>
      <c r="C21" s="33">
        <f>1000/220</f>
        <v>4.5454545454545459</v>
      </c>
      <c r="D21" s="11"/>
      <c r="E21" s="15" t="s">
        <v>24</v>
      </c>
      <c r="F21" s="16">
        <f>SUM(F19:F20)</f>
        <v>69999.999500000005</v>
      </c>
      <c r="G21" s="20">
        <f>F21/$F$23</f>
        <v>0.20325203136360631</v>
      </c>
    </row>
    <row r="22" spans="2:7">
      <c r="B22" s="15" t="s">
        <v>26</v>
      </c>
      <c r="C22" s="21">
        <f>C20*C21</f>
        <v>99.11688311688313</v>
      </c>
      <c r="D22" s="19">
        <f>C22/$C$25</f>
        <v>0.16145908237167653</v>
      </c>
      <c r="E22" s="6"/>
      <c r="F22" s="11"/>
      <c r="G22" s="10"/>
    </row>
    <row r="23" spans="2:7">
      <c r="B23" s="42"/>
      <c r="C23" s="11"/>
      <c r="D23" s="43"/>
      <c r="E23" s="15" t="s">
        <v>27</v>
      </c>
      <c r="F23" s="16">
        <f>F12+F16+F21</f>
        <v>344399.99950000003</v>
      </c>
      <c r="G23" s="20">
        <f>F23/$F$23</f>
        <v>1</v>
      </c>
    </row>
    <row r="24" spans="2:7">
      <c r="B24" s="6" t="s">
        <v>45</v>
      </c>
      <c r="C24" s="47">
        <v>0.02</v>
      </c>
      <c r="D24" s="11"/>
      <c r="E24" s="6" t="s">
        <v>28</v>
      </c>
      <c r="F24" s="36">
        <v>1</v>
      </c>
      <c r="G24" s="10"/>
    </row>
    <row r="25" spans="2:7">
      <c r="B25" s="22" t="s">
        <v>29</v>
      </c>
      <c r="C25" s="23">
        <f>(C14+C18+C22)*(1+C24)</f>
        <v>613.88236363636372</v>
      </c>
      <c r="D25" s="24">
        <f>C25/$C$25</f>
        <v>1</v>
      </c>
      <c r="E25" s="22" t="s">
        <v>30</v>
      </c>
      <c r="F25" s="50">
        <f>F23*F24</f>
        <v>344399.99950000003</v>
      </c>
      <c r="G25" s="46"/>
    </row>
    <row r="26" spans="2:7">
      <c r="B26" s="1"/>
      <c r="C26" s="17"/>
      <c r="D26" s="3"/>
      <c r="E26" s="6"/>
      <c r="F26" s="11"/>
      <c r="G26" s="10"/>
    </row>
    <row r="27" spans="2:7">
      <c r="B27" s="15" t="s">
        <v>52</v>
      </c>
      <c r="C27" s="16">
        <f>C8-C25</f>
        <v>142.11763636363628</v>
      </c>
      <c r="D27" s="10"/>
      <c r="E27" s="6" t="s">
        <v>31</v>
      </c>
      <c r="F27" s="31">
        <v>3600</v>
      </c>
      <c r="G27" s="10"/>
    </row>
    <row r="28" spans="2:7">
      <c r="B28" s="61" t="s">
        <v>53</v>
      </c>
      <c r="C28" s="55">
        <f>C27/C8</f>
        <v>0.18798629148629137</v>
      </c>
      <c r="D28" s="10"/>
      <c r="E28" s="15" t="s">
        <v>32</v>
      </c>
      <c r="F28" s="16">
        <f>C27*F27</f>
        <v>511623.49090909061</v>
      </c>
      <c r="G28" s="49"/>
    </row>
    <row r="29" spans="2:7">
      <c r="B29" s="25"/>
      <c r="C29" s="30"/>
      <c r="D29" s="27"/>
      <c r="E29" s="22"/>
      <c r="F29" s="23"/>
      <c r="G29" s="27"/>
    </row>
    <row r="30" spans="2:7">
      <c r="B30" s="48" t="s">
        <v>49</v>
      </c>
      <c r="C30" s="51">
        <f>C25</f>
        <v>613.88236363636372</v>
      </c>
      <c r="D30" s="53">
        <f>C30/C34</f>
        <v>0.86517257798851899</v>
      </c>
      <c r="E30" s="48" t="s">
        <v>33</v>
      </c>
      <c r="F30" s="52">
        <f>F25/C27</f>
        <v>2423.344549713619</v>
      </c>
      <c r="G30" s="3"/>
    </row>
    <row r="31" spans="2:7">
      <c r="B31" s="42"/>
      <c r="C31" s="11"/>
      <c r="D31" s="43"/>
      <c r="E31" s="6" t="s">
        <v>34</v>
      </c>
      <c r="F31" s="13">
        <f>F27*C11</f>
        <v>21600</v>
      </c>
      <c r="G31" s="10"/>
    </row>
    <row r="32" spans="2:7">
      <c r="B32" s="15" t="s">
        <v>47</v>
      </c>
      <c r="C32" s="16">
        <f>F25/F27</f>
        <v>95.666666527777792</v>
      </c>
      <c r="D32" s="63">
        <f>C32/$C$34</f>
        <v>0.13482742201148104</v>
      </c>
      <c r="E32" s="6"/>
      <c r="F32" s="11"/>
      <c r="G32" s="20"/>
    </row>
    <row r="33" spans="2:7">
      <c r="B33" s="42"/>
      <c r="C33" s="11"/>
      <c r="D33" s="43"/>
      <c r="E33" s="6" t="s">
        <v>43</v>
      </c>
      <c r="F33" s="37">
        <f>C17</f>
        <v>2</v>
      </c>
      <c r="G33" s="10"/>
    </row>
    <row r="34" spans="2:7">
      <c r="B34" s="15" t="s">
        <v>48</v>
      </c>
      <c r="C34" s="16">
        <f>C25+C32</f>
        <v>709.54903016414153</v>
      </c>
      <c r="D34" s="19">
        <f>C34/$C$34</f>
        <v>1</v>
      </c>
      <c r="E34" s="6" t="s">
        <v>35</v>
      </c>
      <c r="F34" s="31">
        <v>22</v>
      </c>
      <c r="G34" s="20"/>
    </row>
    <row r="35" spans="2:7">
      <c r="B35" s="42"/>
      <c r="C35" s="11"/>
      <c r="D35" s="19"/>
      <c r="E35" s="6" t="s">
        <v>36</v>
      </c>
      <c r="F35" s="34">
        <v>110</v>
      </c>
      <c r="G35" s="10"/>
    </row>
    <row r="36" spans="2:7">
      <c r="B36" s="15" t="s">
        <v>50</v>
      </c>
      <c r="C36" s="54">
        <f>C8-C34</f>
        <v>46.450969835858473</v>
      </c>
      <c r="D36" s="19">
        <f>C36/C8</f>
        <v>6.144308179346359E-2</v>
      </c>
      <c r="E36" s="15" t="s">
        <v>44</v>
      </c>
      <c r="F36" s="16">
        <f>F33*F34*F35</f>
        <v>4840</v>
      </c>
      <c r="G36" s="20"/>
    </row>
    <row r="37" spans="2:7">
      <c r="B37" s="25"/>
      <c r="C37" s="26"/>
      <c r="D37" s="26"/>
      <c r="E37" s="25" t="s">
        <v>37</v>
      </c>
      <c r="F37" s="56">
        <f>F27/F36</f>
        <v>0.74380165289256195</v>
      </c>
      <c r="G37" s="27"/>
    </row>
    <row r="38" spans="2:7">
      <c r="B38" s="28" t="s">
        <v>38</v>
      </c>
      <c r="C38" s="26"/>
      <c r="D38" s="26"/>
      <c r="E38" s="26"/>
      <c r="F38" s="26"/>
      <c r="G38" s="27"/>
    </row>
    <row r="40" spans="2:7">
      <c r="F40" s="59"/>
    </row>
  </sheetData>
  <phoneticPr fontId="2" type="noConversion"/>
  <conditionalFormatting sqref="C28">
    <cfRule type="cellIs" dxfId="8" priority="7" stopIfTrue="1" operator="greaterThanOrEqual">
      <formula>0.25</formula>
    </cfRule>
    <cfRule type="cellIs" dxfId="7" priority="8" stopIfTrue="1" operator="between">
      <formula>0.1</formula>
      <formula>0.25</formula>
    </cfRule>
    <cfRule type="cellIs" dxfId="6" priority="9" stopIfTrue="1" operator="lessThan">
      <formula>0.1</formula>
    </cfRule>
  </conditionalFormatting>
  <conditionalFormatting sqref="F37">
    <cfRule type="cellIs" dxfId="5" priority="6" operator="lessThan">
      <formula>0.15</formula>
    </cfRule>
  </conditionalFormatting>
  <conditionalFormatting sqref="F37">
    <cfRule type="cellIs" dxfId="4" priority="4" stopIfTrue="1" operator="greaterThan">
      <formula>0.7</formula>
    </cfRule>
    <cfRule type="cellIs" dxfId="3" priority="5" stopIfTrue="1" operator="between">
      <formula>0.150000001</formula>
      <formula>0.7</formula>
    </cfRule>
  </conditionalFormatting>
  <conditionalFormatting sqref="F8">
    <cfRule type="cellIs" dxfId="2" priority="1" stopIfTrue="1" operator="greaterThanOrEqual">
      <formula>0.15</formula>
    </cfRule>
    <cfRule type="cellIs" dxfId="1" priority="2" stopIfTrue="1" operator="between">
      <formula>0.05</formula>
      <formula>0.15</formula>
    </cfRule>
    <cfRule type="cellIs" dxfId="0" priority="3" stopIfTrue="1" operator="lessThan">
      <formula>0.05</formula>
    </cfRule>
  </conditionalFormatting>
  <pageMargins left="0.43" right="0.24" top="1" bottom="1" header="0.5" footer="0.5"/>
  <pageSetup paperSize="9" scale="83" fitToHeight="0" orientation="portrait" horizontalDpi="4294967293" vertic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Tomato paste</vt:lpstr>
      <vt:lpstr>'Tomato paste'!Print_Area</vt:lpstr>
      <vt:lpstr>ROE</vt:lpstr>
    </vt:vector>
  </TitlesOfParts>
  <Company>ACC Business Creation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van Lieshout</dc:creator>
  <cp:lastModifiedBy>Olivier van Lieshout</cp:lastModifiedBy>
  <cp:lastPrinted>2018-10-04T11:28:07Z</cp:lastPrinted>
  <dcterms:created xsi:type="dcterms:W3CDTF">2009-04-12T14:34:09Z</dcterms:created>
  <dcterms:modified xsi:type="dcterms:W3CDTF">2018-10-04T11:28:13Z</dcterms:modified>
</cp:coreProperties>
</file>