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\OneDrive\Documents\Cigar Box Training\BIG Cigar Box Training\"/>
    </mc:Choice>
  </mc:AlternateContent>
  <xr:revisionPtr revIDLastSave="88" documentId="13_ncr:4000b_{47A2764D-F08B-43B4-BF02-956E27EE2A2E}" xr6:coauthVersionLast="43" xr6:coauthVersionMax="43" xr10:uidLastSave="{243A5C58-2E38-4B34-9983-FD620CCDE7CF}"/>
  <bookViews>
    <workbookView xWindow="28680" yWindow="-120" windowWidth="29040" windowHeight="15840" tabRatio="922" xr2:uid="{00000000-000D-0000-FFFF-FFFF00000000}"/>
  </bookViews>
  <sheets>
    <sheet name="VC1 (food)" sheetId="6" r:id="rId1"/>
    <sheet name="VC1 (coffin)" sheetId="7" r:id="rId2"/>
    <sheet name="VC2 (tomato paste)" sheetId="8" r:id="rId3"/>
    <sheet name="VC3 (earring)" sheetId="10" r:id="rId4"/>
    <sheet name="FC1" sheetId="12" r:id="rId5"/>
    <sheet name="FC1 (NSA)" sheetId="15" r:id="rId6"/>
    <sheet name="FC2" sheetId="13" r:id="rId7"/>
    <sheet name="FC2 Leverage" sheetId="17" r:id="rId8"/>
    <sheet name="FC3" sheetId="14" r:id="rId9"/>
    <sheet name="Why cost accounting" sheetId="1" r:id="rId10"/>
    <sheet name="Bookkeeping" sheetId="5" r:id="rId11"/>
    <sheet name="Cost accounting" sheetId="4" r:id="rId12"/>
    <sheet name="Ex. 7 FC keys" sheetId="16" r:id="rId13"/>
    <sheet name="CB1 Tomato paste" sheetId="19" r:id="rId14"/>
    <sheet name="CB1 Bread" sheetId="18" r:id="rId15"/>
  </sheets>
  <externalReferences>
    <externalReference r:id="rId16"/>
    <externalReference r:id="rId17"/>
    <externalReference r:id="rId18"/>
  </externalReferences>
  <definedNames>
    <definedName name="_Fill" localSheetId="14" hidden="1">#REF!</definedName>
    <definedName name="_Fill" hidden="1">#REF!</definedName>
    <definedName name="_Olivier" hidden="1">#REF!</definedName>
    <definedName name="ROE" localSheetId="10">'[1]FIXED COST'!$T$1</definedName>
    <definedName name="ROE" localSheetId="14">'CB1 Bread'!$J$1</definedName>
    <definedName name="ROE" localSheetId="13">'CB1 Tomato paste'!$M$2</definedName>
    <definedName name="ROE">'[1]FIXED COST'!$T$1</definedName>
    <definedName name="source" localSheetId="10">#REF!</definedName>
    <definedName name="source">#REF!</definedName>
    <definedName name="VAT">'[3]CB4 S0-HBB-400k'!$Q$54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19" l="1"/>
  <c r="H28" i="19"/>
  <c r="H38" i="19" s="1"/>
  <c r="D22" i="19"/>
  <c r="Q21" i="19"/>
  <c r="H21" i="19"/>
  <c r="D21" i="19"/>
  <c r="D23" i="19" s="1"/>
  <c r="H20" i="19"/>
  <c r="H22" i="19" s="1"/>
  <c r="R19" i="19"/>
  <c r="S18" i="19"/>
  <c r="D18" i="19"/>
  <c r="S17" i="19"/>
  <c r="D17" i="19"/>
  <c r="D19" i="19" s="1"/>
  <c r="S16" i="19"/>
  <c r="S15" i="19"/>
  <c r="D15" i="19"/>
  <c r="S14" i="19"/>
  <c r="S13" i="19"/>
  <c r="S21" i="19" s="1"/>
  <c r="R21" i="19" s="1"/>
  <c r="D13" i="19"/>
  <c r="H11" i="19"/>
  <c r="H13" i="19" s="1"/>
  <c r="D11" i="19"/>
  <c r="D6" i="19"/>
  <c r="H5" i="19"/>
  <c r="D5" i="19"/>
  <c r="D7" i="19" s="1"/>
  <c r="D9" i="19" s="1"/>
  <c r="H24" i="19" l="1"/>
  <c r="I13" i="19"/>
  <c r="D26" i="19"/>
  <c r="I22" i="19"/>
  <c r="I21" i="19"/>
  <c r="H15" i="19"/>
  <c r="H17" i="19" s="1"/>
  <c r="E26" i="19" l="1"/>
  <c r="E14" i="19"/>
  <c r="H6" i="19"/>
  <c r="H7" i="19" s="1"/>
  <c r="D31" i="19"/>
  <c r="D28" i="19"/>
  <c r="I23" i="19"/>
  <c r="I20" i="19"/>
  <c r="H26" i="19"/>
  <c r="I24" i="19"/>
  <c r="E15" i="19"/>
  <c r="E23" i="19"/>
  <c r="I17" i="19"/>
  <c r="E13" i="19"/>
  <c r="E19" i="19"/>
  <c r="D29" i="19" l="1"/>
  <c r="H29" i="19"/>
  <c r="H9" i="19"/>
  <c r="H8" i="19"/>
  <c r="H31" i="19"/>
  <c r="H32" i="19" s="1"/>
  <c r="D33" i="19"/>
  <c r="D35" i="19" l="1"/>
  <c r="E35" i="19" l="1"/>
  <c r="D37" i="19"/>
  <c r="E31" i="19"/>
  <c r="E33" i="19"/>
  <c r="F4" i="18" l="1"/>
  <c r="C6" i="18"/>
  <c r="F6" i="18" s="1"/>
  <c r="C7" i="18"/>
  <c r="C10" i="18" s="1"/>
  <c r="C8" i="18"/>
  <c r="F12" i="18"/>
  <c r="F16" i="18" s="1"/>
  <c r="F18" i="18" s="1"/>
  <c r="C13" i="18"/>
  <c r="N13" i="18"/>
  <c r="O13" i="18"/>
  <c r="O18" i="18" s="1"/>
  <c r="P13" i="18"/>
  <c r="Q13" i="18"/>
  <c r="R13" i="18" s="1"/>
  <c r="S13" i="18"/>
  <c r="L14" i="18"/>
  <c r="S14" i="18" s="1"/>
  <c r="S18" i="18" s="1"/>
  <c r="N14" i="18"/>
  <c r="O14" i="18"/>
  <c r="P14" i="18"/>
  <c r="R14" i="18"/>
  <c r="L15" i="18"/>
  <c r="S15" i="18" s="1"/>
  <c r="N15" i="18"/>
  <c r="O15" i="18"/>
  <c r="P15" i="18"/>
  <c r="R15" i="18"/>
  <c r="L16" i="18"/>
  <c r="O16" i="18" s="1"/>
  <c r="N16" i="18"/>
  <c r="P16" i="18" s="1"/>
  <c r="R16" i="18"/>
  <c r="S16" i="18"/>
  <c r="L17" i="18"/>
  <c r="N17" i="18"/>
  <c r="P17" i="18" s="1"/>
  <c r="O17" i="18"/>
  <c r="R17" i="18"/>
  <c r="S17" i="18"/>
  <c r="C18" i="18"/>
  <c r="K18" i="18"/>
  <c r="F21" i="18"/>
  <c r="C22" i="18"/>
  <c r="C24" i="18" s="1"/>
  <c r="F22" i="18"/>
  <c r="C23" i="18"/>
  <c r="F24" i="18"/>
  <c r="F29" i="18"/>
  <c r="F35" i="18"/>
  <c r="C19" i="18" s="1"/>
  <c r="C20" i="18" s="1"/>
  <c r="F37" i="18"/>
  <c r="F38" i="18"/>
  <c r="F39" i="18"/>
  <c r="T13" i="18" l="1"/>
  <c r="R18" i="18"/>
  <c r="M18" i="18"/>
  <c r="P18" i="18"/>
  <c r="F14" i="18"/>
  <c r="F23" i="18"/>
  <c r="L18" i="18"/>
  <c r="F17" i="17"/>
  <c r="D17" i="17"/>
  <c r="C15" i="17"/>
  <c r="F12" i="17"/>
  <c r="F22" i="17" s="1"/>
  <c r="D12" i="17"/>
  <c r="D22" i="17" s="1"/>
  <c r="C10" i="17"/>
  <c r="D10" i="17" s="1"/>
  <c r="E7" i="17"/>
  <c r="C6" i="17"/>
  <c r="D6" i="17" s="1"/>
  <c r="E6" i="17" s="1"/>
  <c r="D5" i="17"/>
  <c r="E3" i="16"/>
  <c r="G3" i="16"/>
  <c r="E4" i="16"/>
  <c r="G4" i="16"/>
  <c r="E5" i="16"/>
  <c r="G5" i="16"/>
  <c r="H3" i="16" s="1"/>
  <c r="I3" i="16" s="1"/>
  <c r="J3" i="16" s="1"/>
  <c r="K3" i="16" s="1"/>
  <c r="L3" i="16" s="1"/>
  <c r="M3" i="16" s="1"/>
  <c r="C9" i="16"/>
  <c r="D9" i="16"/>
  <c r="F9" i="16"/>
  <c r="G9" i="16"/>
  <c r="C10" i="16"/>
  <c r="D10" i="16"/>
  <c r="E10" i="16" s="1"/>
  <c r="F10" i="16"/>
  <c r="G10" i="16" s="1"/>
  <c r="F4" i="15"/>
  <c r="H4" i="15" s="1"/>
  <c r="J4" i="15"/>
  <c r="M4" i="15"/>
  <c r="F5" i="15"/>
  <c r="H5" i="15" s="1"/>
  <c r="K5" i="15" s="1"/>
  <c r="J5" i="15"/>
  <c r="M5" i="15"/>
  <c r="D6" i="15"/>
  <c r="F6" i="15"/>
  <c r="H6" i="15" s="1"/>
  <c r="K6" i="15" s="1"/>
  <c r="J6" i="15"/>
  <c r="M6" i="15"/>
  <c r="F7" i="15"/>
  <c r="H7" i="15"/>
  <c r="K7" i="15" s="1"/>
  <c r="J7" i="15"/>
  <c r="M7" i="15"/>
  <c r="F8" i="15"/>
  <c r="H8" i="15"/>
  <c r="K8" i="15" s="1"/>
  <c r="J8" i="15"/>
  <c r="M8" i="15"/>
  <c r="F9" i="15"/>
  <c r="H9" i="15"/>
  <c r="J9" i="15"/>
  <c r="K9" i="15"/>
  <c r="N9" i="15" s="1"/>
  <c r="M9" i="15"/>
  <c r="F10" i="15"/>
  <c r="H10" i="15" s="1"/>
  <c r="K10" i="15" s="1"/>
  <c r="J10" i="15"/>
  <c r="M10" i="15"/>
  <c r="F11" i="15"/>
  <c r="H11" i="15"/>
  <c r="K11" i="15" s="1"/>
  <c r="J11" i="15"/>
  <c r="M11" i="15"/>
  <c r="F12" i="15"/>
  <c r="H12" i="15"/>
  <c r="K12" i="15" s="1"/>
  <c r="J12" i="15"/>
  <c r="M12" i="15"/>
  <c r="G14" i="15"/>
  <c r="G13" i="14"/>
  <c r="G12" i="14"/>
  <c r="G11" i="14"/>
  <c r="D11" i="14"/>
  <c r="G10" i="14"/>
  <c r="G9" i="14"/>
  <c r="G8" i="14"/>
  <c r="G7" i="14"/>
  <c r="G6" i="14"/>
  <c r="D5" i="14"/>
  <c r="G5" i="14" s="1"/>
  <c r="G4" i="14"/>
  <c r="G14" i="14" s="1"/>
  <c r="I5" i="5"/>
  <c r="Q5" i="5" s="1"/>
  <c r="P5" i="5"/>
  <c r="Q6" i="5"/>
  <c r="X6" i="5" s="1"/>
  <c r="Z6" i="5" s="1"/>
  <c r="I4" i="5"/>
  <c r="P4" i="5"/>
  <c r="Q4" i="5" s="1"/>
  <c r="P6" i="5"/>
  <c r="P7" i="5"/>
  <c r="P8" i="5"/>
  <c r="F5" i="13"/>
  <c r="F6" i="13"/>
  <c r="F4" i="13"/>
  <c r="D8" i="13"/>
  <c r="F8" i="13"/>
  <c r="H7" i="12"/>
  <c r="K7" i="12" s="1"/>
  <c r="H11" i="12"/>
  <c r="K11" i="12" s="1"/>
  <c r="J5" i="12"/>
  <c r="J7" i="12"/>
  <c r="J9" i="12"/>
  <c r="J10" i="12"/>
  <c r="J11" i="12"/>
  <c r="J12" i="12"/>
  <c r="G14" i="12"/>
  <c r="D6" i="12"/>
  <c r="F6" i="12" s="1"/>
  <c r="H6" i="12" s="1"/>
  <c r="K6" i="12" s="1"/>
  <c r="F5" i="12"/>
  <c r="H5" i="12" s="1"/>
  <c r="K5" i="12" s="1"/>
  <c r="F7" i="12"/>
  <c r="F8" i="12"/>
  <c r="H8" i="12" s="1"/>
  <c r="K8" i="12" s="1"/>
  <c r="F9" i="12"/>
  <c r="H9" i="12" s="1"/>
  <c r="K9" i="12" s="1"/>
  <c r="F10" i="12"/>
  <c r="H10" i="12" s="1"/>
  <c r="K10" i="12" s="1"/>
  <c r="F11" i="12"/>
  <c r="F12" i="12"/>
  <c r="H12" i="12" s="1"/>
  <c r="K12" i="12" s="1"/>
  <c r="F4" i="12"/>
  <c r="F14" i="12" s="1"/>
  <c r="J6" i="12"/>
  <c r="J8" i="12"/>
  <c r="H4" i="12"/>
  <c r="J4" i="12"/>
  <c r="G4" i="10"/>
  <c r="G5" i="10"/>
  <c r="G7" i="10" s="1"/>
  <c r="F8" i="10" s="1"/>
  <c r="G8" i="10" s="1"/>
  <c r="G11" i="10" s="1"/>
  <c r="F12" i="10" s="1"/>
  <c r="G12" i="10" s="1"/>
  <c r="G16" i="10" s="1"/>
  <c r="G18" i="10" s="1"/>
  <c r="G6" i="10"/>
  <c r="G9" i="10"/>
  <c r="G10" i="10"/>
  <c r="G13" i="10"/>
  <c r="G14" i="10"/>
  <c r="G15" i="10"/>
  <c r="G17" i="10"/>
  <c r="K16" i="8"/>
  <c r="K22" i="8" s="1"/>
  <c r="K24" i="8" s="1"/>
  <c r="K23" i="8"/>
  <c r="L22" i="8"/>
  <c r="L24" i="8" s="1"/>
  <c r="M22" i="8"/>
  <c r="M23" i="8"/>
  <c r="M24" i="8"/>
  <c r="I5" i="8"/>
  <c r="I16" i="8"/>
  <c r="I17" i="7"/>
  <c r="I19" i="7" s="1"/>
  <c r="I18" i="7"/>
  <c r="I4" i="7"/>
  <c r="J4" i="7" s="1"/>
  <c r="I5" i="7"/>
  <c r="J5" i="7" s="1"/>
  <c r="I6" i="7"/>
  <c r="I7" i="7"/>
  <c r="G4" i="7"/>
  <c r="G5" i="7"/>
  <c r="G6" i="7"/>
  <c r="J6" i="7"/>
  <c r="G7" i="7"/>
  <c r="J7" i="7" s="1"/>
  <c r="J10" i="7"/>
  <c r="J11" i="7"/>
  <c r="J12" i="7"/>
  <c r="J13" i="7"/>
  <c r="J14" i="7"/>
  <c r="J15" i="7"/>
  <c r="J16" i="7"/>
  <c r="J18" i="7"/>
  <c r="H21" i="7"/>
  <c r="H22" i="7"/>
  <c r="G22" i="7" s="1"/>
  <c r="H23" i="6"/>
  <c r="G5" i="6"/>
  <c r="G6" i="6"/>
  <c r="G7" i="6"/>
  <c r="G4" i="6"/>
  <c r="I14" i="6"/>
  <c r="J14" i="6"/>
  <c r="I16" i="6"/>
  <c r="J16" i="6" s="1"/>
  <c r="I18" i="6"/>
  <c r="J18" i="6"/>
  <c r="I10" i="6"/>
  <c r="I19" i="6" s="1"/>
  <c r="I11" i="6"/>
  <c r="J11" i="6"/>
  <c r="I12" i="6"/>
  <c r="J12" i="6" s="1"/>
  <c r="I13" i="6"/>
  <c r="J13" i="6"/>
  <c r="I15" i="6"/>
  <c r="J15" i="6" s="1"/>
  <c r="I17" i="6"/>
  <c r="J17" i="6"/>
  <c r="I4" i="6"/>
  <c r="I8" i="6" s="1"/>
  <c r="I5" i="6"/>
  <c r="J5" i="6" s="1"/>
  <c r="I6" i="6"/>
  <c r="J6" i="6" s="1"/>
  <c r="I7" i="6"/>
  <c r="J7" i="6" s="1"/>
  <c r="H21" i="6"/>
  <c r="G23" i="6" s="1"/>
  <c r="N5" i="5"/>
  <c r="O5" i="5" s="1"/>
  <c r="R5" i="5" s="1"/>
  <c r="N6" i="5"/>
  <c r="O6" i="5"/>
  <c r="R6" i="5"/>
  <c r="N7" i="5"/>
  <c r="O7" i="5"/>
  <c r="R7" i="5" s="1"/>
  <c r="N8" i="5"/>
  <c r="O8" i="5" s="1"/>
  <c r="R8" i="5" s="1"/>
  <c r="N4" i="5"/>
  <c r="O4" i="5" s="1"/>
  <c r="R4" i="5" s="1"/>
  <c r="S5" i="5"/>
  <c r="T5" i="5"/>
  <c r="U5" i="5"/>
  <c r="V5" i="5"/>
  <c r="I6" i="5"/>
  <c r="S6" i="5"/>
  <c r="T6" i="5"/>
  <c r="U6" i="5"/>
  <c r="V6" i="5"/>
  <c r="I7" i="5"/>
  <c r="Q7" i="5" s="1"/>
  <c r="S7" i="5"/>
  <c r="T7" i="5"/>
  <c r="U7" i="5"/>
  <c r="V7" i="5"/>
  <c r="I8" i="5"/>
  <c r="Q8" i="5" s="1"/>
  <c r="S8" i="5"/>
  <c r="T8" i="5"/>
  <c r="U8" i="5"/>
  <c r="V8" i="5"/>
  <c r="V4" i="5"/>
  <c r="U4" i="5"/>
  <c r="T4" i="5"/>
  <c r="U4" i="4"/>
  <c r="V4" i="4"/>
  <c r="I4" i="4"/>
  <c r="L4" i="4" s="1"/>
  <c r="U5" i="4"/>
  <c r="V5" i="4"/>
  <c r="I5" i="4"/>
  <c r="L5" i="4"/>
  <c r="W5" i="4" s="1"/>
  <c r="U6" i="4"/>
  <c r="V6" i="4"/>
  <c r="I6" i="4"/>
  <c r="L6" i="4" s="1"/>
  <c r="J4" i="4"/>
  <c r="N4" i="4"/>
  <c r="O4" i="4" s="1"/>
  <c r="S4" i="4" s="1"/>
  <c r="P4" i="4"/>
  <c r="Q4" i="4"/>
  <c r="T4" i="4"/>
  <c r="J5" i="4"/>
  <c r="N5" i="4"/>
  <c r="O5" i="4"/>
  <c r="S5" i="4" s="1"/>
  <c r="P5" i="4"/>
  <c r="Q5" i="4"/>
  <c r="T5" i="4"/>
  <c r="N6" i="4"/>
  <c r="O6" i="4" s="1"/>
  <c r="S6" i="4" s="1"/>
  <c r="P6" i="4"/>
  <c r="Q6" i="4"/>
  <c r="T6" i="4"/>
  <c r="S4" i="5"/>
  <c r="J14" i="1"/>
  <c r="J15" i="1"/>
  <c r="J17" i="1" s="1"/>
  <c r="K14" i="1"/>
  <c r="K15" i="1" s="1"/>
  <c r="K17" i="1" s="1"/>
  <c r="L15" i="1"/>
  <c r="L17" i="1" s="1"/>
  <c r="L5" i="1"/>
  <c r="L7" i="1" s="1"/>
  <c r="K4" i="1"/>
  <c r="K5" i="1" s="1"/>
  <c r="K7" i="1" s="1"/>
  <c r="J4" i="1"/>
  <c r="J5" i="1" s="1"/>
  <c r="J7" i="1" s="1"/>
  <c r="M7" i="1" s="1"/>
  <c r="M9" i="1" s="1"/>
  <c r="E15" i="1"/>
  <c r="D15" i="1"/>
  <c r="C15" i="1"/>
  <c r="D5" i="1"/>
  <c r="F5" i="1" s="1"/>
  <c r="F7" i="1" s="1"/>
  <c r="F9" i="1" s="1"/>
  <c r="E5" i="1"/>
  <c r="C5" i="1"/>
  <c r="F15" i="1"/>
  <c r="F17" i="1" s="1"/>
  <c r="F19" i="1" s="1"/>
  <c r="F25" i="18" l="1"/>
  <c r="G14" i="18"/>
  <c r="G23" i="18"/>
  <c r="L20" i="18"/>
  <c r="L22" i="18"/>
  <c r="P22" i="18"/>
  <c r="N18" i="18"/>
  <c r="T18" i="18"/>
  <c r="Q18" i="18"/>
  <c r="T14" i="18"/>
  <c r="T15" i="18"/>
  <c r="T17" i="18"/>
  <c r="T16" i="18"/>
  <c r="C20" i="17"/>
  <c r="E5" i="17"/>
  <c r="F5" i="17" s="1"/>
  <c r="C16" i="17"/>
  <c r="D16" i="17" s="1"/>
  <c r="E16" i="17" s="1"/>
  <c r="E12" i="17"/>
  <c r="E17" i="17"/>
  <c r="E22" i="17"/>
  <c r="D15" i="17"/>
  <c r="C11" i="17"/>
  <c r="C21" i="17" s="1"/>
  <c r="D21" i="17" s="1"/>
  <c r="E21" i="17" s="1"/>
  <c r="H10" i="16"/>
  <c r="I10" i="16" s="1"/>
  <c r="J10" i="16" s="1"/>
  <c r="K10" i="16" s="1"/>
  <c r="L10" i="16" s="1"/>
  <c r="M10" i="16" s="1"/>
  <c r="G11" i="16"/>
  <c r="H9" i="16" s="1"/>
  <c r="I9" i="16" s="1"/>
  <c r="J9" i="16" s="1"/>
  <c r="K9" i="16" s="1"/>
  <c r="L9" i="16" s="1"/>
  <c r="M9" i="16" s="1"/>
  <c r="M11" i="16" s="1"/>
  <c r="H4" i="16"/>
  <c r="I4" i="16" s="1"/>
  <c r="J4" i="16" s="1"/>
  <c r="K4" i="16" s="1"/>
  <c r="L4" i="16" s="1"/>
  <c r="M4" i="16" s="1"/>
  <c r="M5" i="16" s="1"/>
  <c r="E9" i="16"/>
  <c r="E11" i="16" s="1"/>
  <c r="N12" i="15"/>
  <c r="O12" i="15"/>
  <c r="O11" i="15"/>
  <c r="N11" i="15"/>
  <c r="N10" i="15"/>
  <c r="O10" i="15"/>
  <c r="O8" i="15"/>
  <c r="N8" i="15"/>
  <c r="O7" i="15"/>
  <c r="N7" i="15"/>
  <c r="N6" i="15"/>
  <c r="O6" i="15"/>
  <c r="N5" i="15"/>
  <c r="O5" i="15"/>
  <c r="H14" i="15"/>
  <c r="K4" i="15"/>
  <c r="O9" i="15"/>
  <c r="F14" i="15"/>
  <c r="W6" i="4"/>
  <c r="R6" i="4"/>
  <c r="X8" i="5"/>
  <c r="Y8" i="5" s="1"/>
  <c r="J8" i="7"/>
  <c r="H14" i="12"/>
  <c r="M17" i="1"/>
  <c r="M19" i="1" s="1"/>
  <c r="X7" i="5"/>
  <c r="Y7" i="5" s="1"/>
  <c r="Z7" i="5"/>
  <c r="W4" i="4"/>
  <c r="R4" i="4"/>
  <c r="M25" i="8"/>
  <c r="Y4" i="5"/>
  <c r="X4" i="5"/>
  <c r="Z4" i="5" s="1"/>
  <c r="Y5" i="5"/>
  <c r="Z5" i="5"/>
  <c r="X5" i="5"/>
  <c r="I8" i="7"/>
  <c r="R5" i="4"/>
  <c r="J17" i="7"/>
  <c r="Y6" i="5"/>
  <c r="J10" i="6"/>
  <c r="J4" i="6"/>
  <c r="K4" i="12"/>
  <c r="K14" i="12" s="1"/>
  <c r="J6" i="4"/>
  <c r="N22" i="18" l="1"/>
  <c r="P21" i="18"/>
  <c r="Q22" i="18"/>
  <c r="C12" i="18"/>
  <c r="C14" i="18" s="1"/>
  <c r="O22" i="18"/>
  <c r="L23" i="18"/>
  <c r="L25" i="18" s="1"/>
  <c r="M25" i="18" s="1"/>
  <c r="R22" i="18"/>
  <c r="G21" i="18"/>
  <c r="F27" i="18"/>
  <c r="G25" i="18"/>
  <c r="G22" i="18"/>
  <c r="G18" i="18"/>
  <c r="G24" i="18"/>
  <c r="C17" i="17"/>
  <c r="E15" i="17"/>
  <c r="F15" i="17" s="1"/>
  <c r="E20" i="17"/>
  <c r="D20" i="17"/>
  <c r="C22" i="17"/>
  <c r="D11" i="17"/>
  <c r="E11" i="17" s="1"/>
  <c r="E10" i="17" s="1"/>
  <c r="F10" i="17" s="1"/>
  <c r="C12" i="17"/>
  <c r="O4" i="15"/>
  <c r="O14" i="15" s="1"/>
  <c r="K14" i="15"/>
  <c r="N4" i="15"/>
  <c r="N14" i="15" s="1"/>
  <c r="Y5" i="4"/>
  <c r="Z5" i="4" s="1"/>
  <c r="AA5" i="4"/>
  <c r="M27" i="8"/>
  <c r="Y4" i="4"/>
  <c r="AA4" i="4" s="1"/>
  <c r="J19" i="6"/>
  <c r="Z8" i="5"/>
  <c r="Y6" i="4"/>
  <c r="Z6" i="4"/>
  <c r="AA6" i="4"/>
  <c r="J8" i="6"/>
  <c r="J19" i="7"/>
  <c r="C16" i="18" l="1"/>
  <c r="R23" i="18"/>
  <c r="R24" i="18"/>
  <c r="C33" i="18"/>
  <c r="O21" i="18"/>
  <c r="M21" i="18" s="1"/>
  <c r="M22" i="18"/>
  <c r="F20" i="17"/>
  <c r="Z4" i="4"/>
  <c r="K19" i="7"/>
  <c r="J21" i="7"/>
  <c r="J21" i="6"/>
  <c r="K8" i="6"/>
  <c r="K19" i="6"/>
  <c r="C26" i="18" l="1"/>
  <c r="C27" i="18"/>
  <c r="K14" i="6"/>
  <c r="K21" i="6"/>
  <c r="J23" i="6"/>
  <c r="J25" i="6" s="1"/>
  <c r="K18" i="6"/>
  <c r="K6" i="6"/>
  <c r="K13" i="6"/>
  <c r="K15" i="6"/>
  <c r="K17" i="6"/>
  <c r="K12" i="6"/>
  <c r="K11" i="6"/>
  <c r="K5" i="6"/>
  <c r="K16" i="6"/>
  <c r="K7" i="6"/>
  <c r="K4" i="6"/>
  <c r="K10" i="6"/>
  <c r="K11" i="7"/>
  <c r="K15" i="7"/>
  <c r="K18" i="7"/>
  <c r="K12" i="7"/>
  <c r="K16" i="7"/>
  <c r="J22" i="7"/>
  <c r="J23" i="7" s="1"/>
  <c r="K10" i="7"/>
  <c r="K13" i="7"/>
  <c r="K21" i="7"/>
  <c r="K14" i="7"/>
  <c r="K4" i="7"/>
  <c r="K5" i="7"/>
  <c r="K7" i="7"/>
  <c r="K6" i="7"/>
  <c r="K17" i="7"/>
  <c r="K8" i="7"/>
  <c r="F7" i="18" l="1"/>
  <c r="F8" i="18" s="1"/>
  <c r="D27" i="18"/>
  <c r="C35" i="18"/>
  <c r="C32" i="18"/>
  <c r="D32" i="18" s="1"/>
  <c r="D15" i="18"/>
  <c r="D20" i="18"/>
  <c r="C29" i="18"/>
  <c r="D24" i="18"/>
  <c r="D14" i="18"/>
  <c r="D16" i="18"/>
  <c r="C30" i="18" l="1"/>
  <c r="F30" i="18"/>
  <c r="F32" i="18"/>
  <c r="F33" i="18" s="1"/>
  <c r="D35" i="18"/>
  <c r="C37" i="18"/>
  <c r="D37" i="18" s="1"/>
  <c r="D33" i="18"/>
  <c r="F40" i="18"/>
  <c r="F10" i="18"/>
  <c r="F41" i="18"/>
  <c r="F9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Samat</author>
    <author>Olivier van Lieshout</author>
  </authors>
  <commentList>
    <comment ref="D7" authorId="0" shapeId="0" xr:uid="{35602954-6F05-4B44-8028-B762599B894F}">
      <text>
        <r>
          <rPr>
            <b/>
            <sz val="8"/>
            <color indexed="81"/>
            <rFont val="Tahoma"/>
            <family val="2"/>
          </rPr>
          <t xml:space="preserve">Roman: </t>
        </r>
        <r>
          <rPr>
            <sz val="8"/>
            <color indexed="81"/>
            <rFont val="Tahoma"/>
            <family val="2"/>
            <charset val="204"/>
          </rPr>
          <t xml:space="preserve">$65 per ton; $1=38som
</t>
        </r>
      </text>
    </comment>
    <comment ref="D17" authorId="1" shapeId="0" xr:uid="{A279A8C6-343C-4C73-8E2C-40744281DC43}">
      <text>
        <r>
          <rPr>
            <b/>
            <sz val="8"/>
            <color indexed="81"/>
            <rFont val="Tahoma"/>
            <family val="2"/>
          </rPr>
          <t>Olivier van Lieshout: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steam us</t>
        </r>
        <r>
          <rPr>
            <sz val="12"/>
            <color indexed="81"/>
            <rFont val="Tahoma"/>
            <family val="2"/>
          </rPr>
          <t>e: 6.0 tonnes per hour *KGS 621 per hour (2006)
electricity use: KGS 459 per hour
labor: KGS 168 per hour
output: 2000 kg per hour</t>
        </r>
      </text>
    </comment>
    <comment ref="D21" authorId="0" shapeId="0" xr:uid="{970BCE79-4A3E-4346-9E7F-12184849F4FA}">
      <text>
        <r>
          <rPr>
            <b/>
            <sz val="8"/>
            <color indexed="81"/>
            <rFont val="Tahoma"/>
            <family val="2"/>
          </rPr>
          <t xml:space="preserve">Roman: </t>
        </r>
        <r>
          <rPr>
            <sz val="8"/>
            <color indexed="81"/>
            <rFont val="Tahoma"/>
            <family val="2"/>
            <charset val="204"/>
          </rPr>
          <t xml:space="preserve">Aseptic bag - €3.2*51 + iron barrel - 600 som excl VAT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Olivier van Lieshout</author>
    <author>olivier van lieshout</author>
  </authors>
  <commentList>
    <comment ref="C18" authorId="0" shapeId="0" xr:uid="{DE9BB2D1-6C63-4DDB-8A65-9614263A20F9}">
      <text>
        <r>
          <rPr>
            <b/>
            <sz val="9"/>
            <color indexed="81"/>
            <rFont val="Tahoma"/>
            <family val="2"/>
          </rPr>
          <t>Olivier van Lieshout:</t>
        </r>
        <r>
          <rPr>
            <sz val="9"/>
            <color indexed="81"/>
            <rFont val="Tahoma"/>
            <family val="2"/>
          </rPr>
          <t xml:space="preserve">
Macadams 120 gasoven
3.6 n per loaf (MS)
40 KVA genset N35 per KVA
</t>
        </r>
      </text>
    </comment>
    <comment ref="F20" authorId="1" shapeId="0" xr:uid="{E0EA82FC-6D29-4A7B-B825-536EA1BF4846}">
      <text>
        <r>
          <rPr>
            <b/>
            <sz val="9"/>
            <color indexed="81"/>
            <rFont val="Tahoma"/>
            <family val="2"/>
          </rPr>
          <t>olivier van lieshout:</t>
        </r>
        <r>
          <rPr>
            <sz val="9"/>
            <color indexed="81"/>
            <rFont val="Tahoma"/>
            <family val="2"/>
          </rPr>
          <t xml:space="preserve">
5 production, 3 sales, 1 admin, 1 management
</t>
        </r>
      </text>
    </comment>
    <comment ref="C22" authorId="1" shapeId="0" xr:uid="{529B1686-740A-4CD7-8912-DC8C8204F767}">
      <text>
        <r>
          <rPr>
            <b/>
            <sz val="9"/>
            <color indexed="81"/>
            <rFont val="Tahoma"/>
            <family val="2"/>
          </rPr>
          <t>olivier van lieshout:</t>
        </r>
        <r>
          <rPr>
            <sz val="9"/>
            <color indexed="81"/>
            <rFont val="Tahoma"/>
            <family val="2"/>
          </rPr>
          <t xml:space="preserve">
Bag+no label+clip</t>
        </r>
      </text>
    </comment>
    <comment ref="F22" authorId="0" shapeId="0" xr:uid="{FF577C8E-13DA-4659-814A-54A3B2294252}">
      <text>
        <r>
          <rPr>
            <b/>
            <sz val="8"/>
            <color indexed="81"/>
            <rFont val="Tahoma"/>
            <family val="2"/>
          </rPr>
          <t>Olivier van Lieshout:</t>
        </r>
        <r>
          <rPr>
            <sz val="8"/>
            <color indexed="81"/>
            <rFont val="Tahoma"/>
            <family val="2"/>
          </rPr>
          <t xml:space="preserve">
Rent, spare parts, maintenance, marketing
</t>
        </r>
      </text>
    </comment>
  </commentList>
</comments>
</file>

<file path=xl/sharedStrings.xml><?xml version="1.0" encoding="utf-8"?>
<sst xmlns="http://schemas.openxmlformats.org/spreadsheetml/2006/main" count="760" uniqueCount="438">
  <si>
    <t>P</t>
  </si>
  <si>
    <t>q</t>
  </si>
  <si>
    <t>Revenues</t>
  </si>
  <si>
    <t>Contribution</t>
  </si>
  <si>
    <t>A</t>
  </si>
  <si>
    <t>B</t>
  </si>
  <si>
    <t>C</t>
  </si>
  <si>
    <t>Total</t>
  </si>
  <si>
    <t>Variable costs</t>
  </si>
  <si>
    <t>Fixed costs</t>
  </si>
  <si>
    <t>Profit before tax</t>
  </si>
  <si>
    <t>Year 1</t>
  </si>
  <si>
    <t>Year 2</t>
  </si>
  <si>
    <t>Variable cost/unit</t>
  </si>
  <si>
    <t>Margin/unit</t>
  </si>
  <si>
    <t>up 125%</t>
  </si>
  <si>
    <t>up 25%</t>
  </si>
  <si>
    <t>Producer</t>
  </si>
  <si>
    <t>Place</t>
  </si>
  <si>
    <t>Product</t>
  </si>
  <si>
    <t>Unit</t>
  </si>
  <si>
    <t>VC</t>
  </si>
  <si>
    <t>Mar-gin</t>
  </si>
  <si>
    <t>Mrg %</t>
  </si>
  <si>
    <t>Contri-bution</t>
  </si>
  <si>
    <t>FC</t>
  </si>
  <si>
    <t>FC
/q</t>
  </si>
  <si>
    <t>TC
/q</t>
  </si>
  <si>
    <t>Cost</t>
  </si>
  <si>
    <t>Profit</t>
  </si>
  <si>
    <t>Profit
/q</t>
  </si>
  <si>
    <t>q BE</t>
  </si>
  <si>
    <t>Tax %</t>
  </si>
  <si>
    <t>Tax</t>
  </si>
  <si>
    <t>PaT</t>
  </si>
  <si>
    <t>PaT%</t>
  </si>
  <si>
    <t>Happy Juice</t>
  </si>
  <si>
    <t>Armavir</t>
  </si>
  <si>
    <t>Ablipiga juice</t>
  </si>
  <si>
    <t>1 liter bottle</t>
  </si>
  <si>
    <t>3 liter bottle</t>
  </si>
  <si>
    <t>Reve-nue</t>
  </si>
  <si>
    <t>Mrg%</t>
  </si>
  <si>
    <t>Profit calculation using the BOOKKEEPING formula</t>
  </si>
  <si>
    <t>Profit calculation using the COST ACCOUNTING formula</t>
  </si>
  <si>
    <t>P BE</t>
  </si>
  <si>
    <t>VC BE</t>
  </si>
  <si>
    <t>FC BE</t>
  </si>
  <si>
    <t>1a</t>
  </si>
  <si>
    <t>1b</t>
  </si>
  <si>
    <t>1c</t>
  </si>
  <si>
    <t>1d</t>
  </si>
  <si>
    <t>1e</t>
  </si>
  <si>
    <t>Input</t>
  </si>
  <si>
    <t xml:space="preserve">Scallion - fresh </t>
  </si>
  <si>
    <t xml:space="preserve">Scotch bonnet pepper -fresh </t>
  </si>
  <si>
    <t xml:space="preserve">Thyme - fresh </t>
  </si>
  <si>
    <t xml:space="preserve">Salt </t>
  </si>
  <si>
    <t xml:space="preserve">Onion - fresh </t>
  </si>
  <si>
    <t xml:space="preserve">Water </t>
  </si>
  <si>
    <t xml:space="preserve">Vinegar 5% </t>
  </si>
  <si>
    <t xml:space="preserve">Sodium benzoate </t>
  </si>
  <si>
    <t xml:space="preserve">Sodium metabisulphate </t>
  </si>
  <si>
    <t xml:space="preserve">Patty special yellow </t>
  </si>
  <si>
    <t>Betapak curry powder</t>
  </si>
  <si>
    <t>kg</t>
  </si>
  <si>
    <t>Garlic saromex</t>
  </si>
  <si>
    <t>VC1</t>
  </si>
  <si>
    <t>VC1 %</t>
  </si>
  <si>
    <t>Nbr</t>
  </si>
  <si>
    <t>Ranking</t>
  </si>
  <si>
    <t xml:space="preserve">Maggi season-up (chicken) </t>
  </si>
  <si>
    <t>cleaning losses</t>
  </si>
  <si>
    <t>price net weight</t>
  </si>
  <si>
    <t>Raw material</t>
  </si>
  <si>
    <t>Ingredients</t>
  </si>
  <si>
    <t>processing losses</t>
  </si>
  <si>
    <t>Acacia wood</t>
  </si>
  <si>
    <t>Spur tree wood</t>
  </si>
  <si>
    <t>share % in FG</t>
  </si>
  <si>
    <t>quantity in FG</t>
  </si>
  <si>
    <t>Paint</t>
  </si>
  <si>
    <t>lt</t>
  </si>
  <si>
    <t>Nails</t>
  </si>
  <si>
    <t>Screws</t>
  </si>
  <si>
    <t>Fabric, silk</t>
  </si>
  <si>
    <t>Thread</t>
  </si>
  <si>
    <t>Tassels</t>
  </si>
  <si>
    <t>Pillow stuffing</t>
  </si>
  <si>
    <t>Implements</t>
  </si>
  <si>
    <t>pcs</t>
  </si>
  <si>
    <t>m</t>
  </si>
  <si>
    <t>Theoretical weight</t>
  </si>
  <si>
    <t>Actual production weight</t>
  </si>
  <si>
    <t>Actual VC1 per coffin</t>
  </si>
  <si>
    <t>Actual VC1 per kg</t>
  </si>
  <si>
    <t>price delivered per unit</t>
  </si>
  <si>
    <t>Theoretical batch weight</t>
  </si>
  <si>
    <t>Num-ber</t>
  </si>
  <si>
    <t>Pro- cess type *)</t>
  </si>
  <si>
    <t>Batch length in minutes</t>
  </si>
  <si>
    <t>Batch volume in ton</t>
  </si>
  <si>
    <t>Capacity in ton per hour</t>
  </si>
  <si>
    <t>RM or FP **)</t>
  </si>
  <si>
    <t>Steam use in ton per hour</t>
  </si>
  <si>
    <t>kW use per hour</t>
  </si>
  <si>
    <t>Weigh bridge</t>
  </si>
  <si>
    <t>Batch</t>
  </si>
  <si>
    <t>up to 90 ton</t>
  </si>
  <si>
    <t>RM</t>
  </si>
  <si>
    <t>Cont.</t>
  </si>
  <si>
    <t>-</t>
  </si>
  <si>
    <t xml:space="preserve">Accumulator (collecting, mixing) </t>
  </si>
  <si>
    <t>Screw pumps</t>
  </si>
  <si>
    <t>Heaters</t>
  </si>
  <si>
    <t>Grinding/crushing (three-stage)</t>
  </si>
  <si>
    <t>Accumulators of juice</t>
  </si>
  <si>
    <t>Pumps</t>
  </si>
  <si>
    <t>FP</t>
  </si>
  <si>
    <t xml:space="preserve">Capping machines </t>
  </si>
  <si>
    <t>Auto-labeling machine</t>
  </si>
  <si>
    <t>Pallet, plastic wrapping machine</t>
  </si>
  <si>
    <t>F Storage</t>
  </si>
  <si>
    <t>Moving products to storage facility</t>
  </si>
  <si>
    <t>*) Batch means the product flow is not continuous</t>
  </si>
  <si>
    <t>Price per unit/hour</t>
  </si>
  <si>
    <t xml:space="preserve">   Cont. means the production flow is continuous</t>
  </si>
  <si>
    <t>Price per hour</t>
  </si>
  <si>
    <t>Processing cost per hour</t>
  </si>
  <si>
    <t>**) RM = tons of raw material</t>
  </si>
  <si>
    <t>Processing volume per hour</t>
  </si>
  <si>
    <t xml:space="preserve">    FP = tons of finished product</t>
  </si>
  <si>
    <t>USD</t>
  </si>
  <si>
    <t>per ton</t>
  </si>
  <si>
    <t>per year</t>
  </si>
  <si>
    <t>Total Revenue</t>
  </si>
  <si>
    <t>Total Cost</t>
  </si>
  <si>
    <t>Profit Before Tax</t>
  </si>
  <si>
    <t>Price (EXW)</t>
  </si>
  <si>
    <t>Profitability %</t>
  </si>
  <si>
    <t>Price (Raw Material, delivered factory)</t>
  </si>
  <si>
    <t>Asset value</t>
  </si>
  <si>
    <t>Depreciation %</t>
  </si>
  <si>
    <t>Raw Material cost</t>
  </si>
  <si>
    <t>FC1</t>
  </si>
  <si>
    <t>Other ingredients</t>
  </si>
  <si>
    <t>Interest rate</t>
  </si>
  <si>
    <t>Production cost per hour (steam, electricity)</t>
  </si>
  <si>
    <t>FC2</t>
  </si>
  <si>
    <t>Capital</t>
  </si>
  <si>
    <t>Share</t>
  </si>
  <si>
    <t>Investment</t>
  </si>
  <si>
    <t>Equity</t>
  </si>
  <si>
    <t>VC2</t>
  </si>
  <si>
    <t>Number of FTE employed</t>
  </si>
  <si>
    <t>Debt</t>
  </si>
  <si>
    <t>Salaries staff incl. social taxes</t>
  </si>
  <si>
    <t>Cost of packing (aseptic bag, drum)</t>
  </si>
  <si>
    <t>Other overhead, repairs, maintenance</t>
  </si>
  <si>
    <t>Number of drums per ton</t>
  </si>
  <si>
    <t>FC3</t>
  </si>
  <si>
    <t>VC3</t>
  </si>
  <si>
    <t>FC % attributed to product</t>
  </si>
  <si>
    <t>FC (attributed to product)</t>
  </si>
  <si>
    <t>Output capacity per hour in ton</t>
  </si>
  <si>
    <t>Working hours per day</t>
  </si>
  <si>
    <t>Length of harvesting season in days</t>
  </si>
  <si>
    <t>Max. output capacity per year</t>
  </si>
  <si>
    <t>Capacity utilization %</t>
  </si>
  <si>
    <t>Casual workers needed per hour</t>
  </si>
  <si>
    <t>Process description and equipment used</t>
  </si>
  <si>
    <t>Filling line 18 heads 3000 units/hr</t>
  </si>
  <si>
    <t>E Labeling</t>
  </si>
  <si>
    <t>A Intake</t>
  </si>
  <si>
    <t>Process step</t>
  </si>
  <si>
    <t>Heater, sterilizer + cooler</t>
  </si>
  <si>
    <t>20 RM -&gt; 4 FP</t>
  </si>
  <si>
    <t>Grading/inspection conveyers</t>
  </si>
  <si>
    <t>Crushing/chopping machines</t>
  </si>
  <si>
    <t>D Filling / pasteuri-zation</t>
  </si>
  <si>
    <t>B Extrac-tion</t>
  </si>
  <si>
    <t>Reception bunkers (washing)</t>
  </si>
  <si>
    <t>C Evapo-ration</t>
  </si>
  <si>
    <t>Jewelry box (23x60mm)</t>
  </si>
  <si>
    <t>Silken pillow (20x55mm)</t>
  </si>
  <si>
    <t>Lock</t>
  </si>
  <si>
    <t>Quantity</t>
  </si>
  <si>
    <t>Price</t>
  </si>
  <si>
    <t>Amount</t>
  </si>
  <si>
    <t>Article</t>
  </si>
  <si>
    <t>Secondary</t>
  </si>
  <si>
    <t>Primary</t>
  </si>
  <si>
    <t>Type of packaging</t>
  </si>
  <si>
    <t>Carton box</t>
  </si>
  <si>
    <t>Shrink wrap</t>
  </si>
  <si>
    <t>Primary packs in secondary</t>
  </si>
  <si>
    <t>Label</t>
  </si>
  <si>
    <t>Tertiary</t>
  </si>
  <si>
    <t>Secondary packs in tertiary</t>
  </si>
  <si>
    <t>Euro pallet</t>
  </si>
  <si>
    <t>Export label</t>
  </si>
  <si>
    <t>TOTAL</t>
  </si>
  <si>
    <t>Total number of units in final packaging</t>
  </si>
  <si>
    <t>Sub-total</t>
  </si>
  <si>
    <t>Asset</t>
  </si>
  <si>
    <t>Purchase value</t>
  </si>
  <si>
    <t>Residual value</t>
  </si>
  <si>
    <t>Economic life in years</t>
  </si>
  <si>
    <t>Depre-ciation %</t>
  </si>
  <si>
    <t>Depreciation per year</t>
  </si>
  <si>
    <t>Land, levelling, access road, fencing</t>
  </si>
  <si>
    <t>Nursery (50% poly tunnel; 50% shade netting)</t>
  </si>
  <si>
    <t>Irrigation + fertigation (pumps, basin, tanks)</t>
  </si>
  <si>
    <t>Packhouse (280m2) - complete</t>
  </si>
  <si>
    <t>Cool cells (80m3) + generator 15 kVA</t>
  </si>
  <si>
    <t>Office and Transport</t>
  </si>
  <si>
    <t>Purchase price</t>
  </si>
  <si>
    <t>Planting material (6 bulbs / sqm - 5 years)</t>
  </si>
  <si>
    <t>Shade house, wooden A-frame, poly (ha)</t>
  </si>
  <si>
    <t>Spray irrigation system and injectors (ha)</t>
  </si>
  <si>
    <t>Processing cost per ton</t>
  </si>
  <si>
    <t xml:space="preserve">VC2 </t>
  </si>
  <si>
    <t>Loan</t>
  </si>
  <si>
    <t>Loan amount</t>
  </si>
  <si>
    <t>Interest %</t>
  </si>
  <si>
    <t>Interest per year</t>
  </si>
  <si>
    <t>Working capital loan Standard Bank - 3 years</t>
  </si>
  <si>
    <t>Equipment loan Exim Bank - 7 years</t>
  </si>
  <si>
    <t>JMD</t>
  </si>
  <si>
    <t>VC1 calculation sheet for Food Products (raw material and ingredients)</t>
  </si>
  <si>
    <t>VC1 calculation sheet for Non-food products (raw material and implements)</t>
  </si>
  <si>
    <t>VC2 calculation sheet for Tomato paste 25 Brix</t>
  </si>
  <si>
    <t>INR</t>
  </si>
  <si>
    <t>VC3 calculation sheet for golden earrings</t>
  </si>
  <si>
    <t>FC1 Depreciation calculation sheet</t>
  </si>
  <si>
    <t>FC2 calculation sheet for Interest</t>
  </si>
  <si>
    <t>Description</t>
  </si>
  <si>
    <t>Amount per month</t>
  </si>
  <si>
    <t>Months per year</t>
  </si>
  <si>
    <t>Annual cost</t>
  </si>
  <si>
    <t>Salaries</t>
  </si>
  <si>
    <t>Social taxes (40%)</t>
  </si>
  <si>
    <t>Rent</t>
  </si>
  <si>
    <t>Telephone, fax, internet</t>
  </si>
  <si>
    <t>Cleaning, office utilities, disposables</t>
  </si>
  <si>
    <t>Milk advertisement 'Chowy-shup'</t>
  </si>
  <si>
    <t>Fuel, car repair, toll, road tax</t>
  </si>
  <si>
    <t>Utilities (share of office 16% and marketing 5%)</t>
  </si>
  <si>
    <t>Other cost</t>
  </si>
  <si>
    <t>FC3 Calculation sheet for Overhead costs</t>
  </si>
  <si>
    <t>Maintenance, new spare parts</t>
  </si>
  <si>
    <t>BIRR</t>
  </si>
  <si>
    <t>FC1 B</t>
  </si>
  <si>
    <t>FC1 A</t>
  </si>
  <si>
    <t>Share % B</t>
  </si>
  <si>
    <t>Share % A</t>
  </si>
  <si>
    <t>Tot</t>
  </si>
  <si>
    <t>Profit/q</t>
  </si>
  <si>
    <t>TC/q</t>
  </si>
  <si>
    <t>FC/q</t>
  </si>
  <si>
    <t>FC%</t>
  </si>
  <si>
    <t>Sales</t>
  </si>
  <si>
    <t>Prod</t>
  </si>
  <si>
    <t>VC*q</t>
  </si>
  <si>
    <t>FC1 Depreciation calculation with Non-shared assets</t>
  </si>
  <si>
    <t xml:space="preserve"> return on equity</t>
  </si>
  <si>
    <t xml:space="preserve"> interest rate</t>
  </si>
  <si>
    <t xml:space="preserve"> profitability</t>
  </si>
  <si>
    <t>equal to</t>
  </si>
  <si>
    <t xml:space="preserve">lower </t>
  </si>
  <si>
    <r>
      <t xml:space="preserve">Note: figures in </t>
    </r>
    <r>
      <rPr>
        <b/>
        <i/>
        <sz val="10"/>
        <color indexed="12"/>
        <rFont val="Calibri"/>
        <family val="2"/>
        <scheme val="minor"/>
      </rPr>
      <t>blue</t>
    </r>
    <r>
      <rPr>
        <i/>
        <sz val="10"/>
        <rFont val="Calibri"/>
        <family val="2"/>
        <scheme val="minor"/>
      </rPr>
      <t xml:space="preserve"> are assumptions; figures in </t>
    </r>
    <r>
      <rPr>
        <b/>
        <i/>
        <sz val="10"/>
        <color indexed="14"/>
        <rFont val="Calibri"/>
        <family val="2"/>
        <scheme val="minor"/>
      </rPr>
      <t>pink</t>
    </r>
    <r>
      <rPr>
        <i/>
        <sz val="10"/>
        <rFont val="Calibri"/>
        <family val="2"/>
        <scheme val="minor"/>
      </rPr>
      <t xml:space="preserve"> are calculated in another sheet; figures in </t>
    </r>
    <r>
      <rPr>
        <b/>
        <i/>
        <sz val="10"/>
        <rFont val="Calibri"/>
        <family val="2"/>
        <scheme val="minor"/>
      </rPr>
      <t>black</t>
    </r>
    <r>
      <rPr>
        <i/>
        <sz val="10"/>
        <rFont val="Calibri"/>
        <family val="2"/>
        <scheme val="minor"/>
      </rPr>
      <t xml:space="preserve"> are formulas</t>
    </r>
  </si>
  <si>
    <t>higher</t>
  </si>
  <si>
    <t>FC2. Leverage principle</t>
  </si>
  <si>
    <t>Profitability 10%</t>
  </si>
  <si>
    <t>than interest rate of 6%</t>
  </si>
  <si>
    <t>interest rate of 10%</t>
  </si>
  <si>
    <t>than interest rate of 14%</t>
  </si>
  <si>
    <t xml:space="preserve">much lower </t>
  </si>
  <si>
    <t>than interest rate of 25%</t>
  </si>
  <si>
    <t>Parameter</t>
  </si>
  <si>
    <t>Rate</t>
  </si>
  <si>
    <t>ROE</t>
  </si>
  <si>
    <t>ROI (at 80% capacity utilization)</t>
  </si>
  <si>
    <t>Length of production season in days</t>
  </si>
  <si>
    <t>Profit / q</t>
  </si>
  <si>
    <t>Output capacity in kg per hour</t>
  </si>
  <si>
    <t>Total Cost / q</t>
  </si>
  <si>
    <t>Break even quantity (loaves per day)</t>
  </si>
  <si>
    <t>Fixed Cost / q</t>
  </si>
  <si>
    <t>Break even quantity (sales)</t>
  </si>
  <si>
    <t>Variable cost</t>
  </si>
  <si>
    <t>Margin %</t>
  </si>
  <si>
    <t>Quantity sold q (kg/yr)</t>
  </si>
  <si>
    <t>Margin</t>
  </si>
  <si>
    <t>Returned goods</t>
  </si>
  <si>
    <t>Difference (must be less than 3 gr)</t>
  </si>
  <si>
    <t>Actual weight of average loaf</t>
  </si>
  <si>
    <t>FC4</t>
  </si>
  <si>
    <t>Weight of 1 loaf after baking</t>
  </si>
  <si>
    <t>Number of selling units per kg</t>
  </si>
  <si>
    <t>Weight after baking in kg</t>
  </si>
  <si>
    <t>Other overhead</t>
  </si>
  <si>
    <t>Cost of packing (flow pack, labels)</t>
  </si>
  <si>
    <t>Baking loss (moisture)</t>
  </si>
  <si>
    <t>Overhead salaries, maintenance</t>
  </si>
  <si>
    <t>Weight of 1 dough piece</t>
  </si>
  <si>
    <t>Dough pieces from batch</t>
  </si>
  <si>
    <t>Production quantity per hour (kg/hour)</t>
  </si>
  <si>
    <t>Dough</t>
  </si>
  <si>
    <t>Production cost per hour (oil, electricity, labor)</t>
  </si>
  <si>
    <t>Water</t>
  </si>
  <si>
    <t>Sugar</t>
  </si>
  <si>
    <t>Debt (50% of Asset value)</t>
  </si>
  <si>
    <t>Salt</t>
  </si>
  <si>
    <t>Other ingredients (filling, decoration)</t>
  </si>
  <si>
    <t>Yeast</t>
  </si>
  <si>
    <t>Cost of dough</t>
  </si>
  <si>
    <t>Wheat flour</t>
  </si>
  <si>
    <t>Processing ratio, baking losses</t>
  </si>
  <si>
    <t>Cost %</t>
  </si>
  <si>
    <t>Cost/batch</t>
  </si>
  <si>
    <t>Cost dough</t>
  </si>
  <si>
    <t>Ingr. price/kg</t>
  </si>
  <si>
    <t>Solids/batch</t>
  </si>
  <si>
    <t>Water/batch</t>
  </si>
  <si>
    <t>Solids</t>
  </si>
  <si>
    <t>Water %</t>
  </si>
  <si>
    <t>Recipe</t>
  </si>
  <si>
    <t>Asset value (Own capital = 50%)</t>
  </si>
  <si>
    <t>Cost of the dough, according to recipe</t>
  </si>
  <si>
    <t>Cash flow</t>
  </si>
  <si>
    <t>VC4 Other costs</t>
  </si>
  <si>
    <t>VC4 Transport + Sales commission 5%</t>
  </si>
  <si>
    <t>VAT, 5%</t>
  </si>
  <si>
    <t>Price (delivered market)</t>
  </si>
  <si>
    <t>per kg</t>
  </si>
  <si>
    <t>Sandwich bread, 700 gram sliced and packed in cellophane</t>
  </si>
  <si>
    <t>CB1 Bread</t>
  </si>
  <si>
    <t>CB1 - Tomato paste 25 Brix, aseptic bags of 220 kg in steel drums</t>
  </si>
  <si>
    <t>CIGAR BOX 1 - Томатная паста 25 Brix, асептические мешки по 220 кг. в стальных бочках</t>
  </si>
  <si>
    <t>Price (DDP Moscow)</t>
  </si>
  <si>
    <t>Цена (DDU Москва)</t>
  </si>
  <si>
    <t>Общая выручка</t>
  </si>
  <si>
    <t>VC4 Import duties, 10%</t>
  </si>
  <si>
    <t>VC4 Импортные пошлины, 10%</t>
  </si>
  <si>
    <t>Общие издержки</t>
  </si>
  <si>
    <t>VC4 Transport, sales commission 3%</t>
  </si>
  <si>
    <t>VC4 Транспортировка (114$/тон) и комиссия, 3%</t>
  </si>
  <si>
    <t>Прибыль до уплаты налогов</t>
  </si>
  <si>
    <t>VC4 Other</t>
  </si>
  <si>
    <t>Коэффициент (%) рентабельности</t>
  </si>
  <si>
    <t>Цена (EXW)</t>
  </si>
  <si>
    <r>
      <t xml:space="preserve">Cash flow </t>
    </r>
    <r>
      <rPr>
        <sz val="10"/>
        <rFont val="Calibri"/>
        <family val="2"/>
        <scheme val="minor"/>
      </rPr>
      <t>(+depreciation -loan repayment)</t>
    </r>
  </si>
  <si>
    <t>Цена (сырье, с доставкой)</t>
  </si>
  <si>
    <t>Стоимость осн.средств</t>
  </si>
  <si>
    <t>Processing ratio</t>
  </si>
  <si>
    <t>Коэффициент переработки</t>
  </si>
  <si>
    <t>Амортизация %</t>
  </si>
  <si>
    <t>Explanation</t>
  </si>
  <si>
    <t>SN</t>
  </si>
  <si>
    <t>Value USD</t>
  </si>
  <si>
    <t>%</t>
  </si>
  <si>
    <t>Depreciation</t>
  </si>
  <si>
    <t>Стоимость сырья</t>
  </si>
  <si>
    <t>Copy this sheet</t>
  </si>
  <si>
    <t>Скопируйте данную форму</t>
  </si>
  <si>
    <t>Land</t>
  </si>
  <si>
    <t>Другие ингредиенты</t>
  </si>
  <si>
    <t>Rename the copied sheet into CB1 Ketchup</t>
  </si>
  <si>
    <t>Переименуйте скопированную форму на CB1 Кетчуп</t>
  </si>
  <si>
    <t>Building</t>
  </si>
  <si>
    <t>Debt (40% of asset value)</t>
  </si>
  <si>
    <t>Долг</t>
  </si>
  <si>
    <t>In cell C2 write Ketchup 12 Brix in flask of 250 gram, 24 per box (6 kg)</t>
  </si>
  <si>
    <t>В ячейке C2 напишите Кетчуп 12 сухие вещества (бриксы) в 250 гр бемкости, 24 бутылки на ящик (6 кг)</t>
  </si>
  <si>
    <t>Primary processing equipment</t>
  </si>
  <si>
    <t>Процентная ставка</t>
  </si>
  <si>
    <t>P (DDU) = $18 per box</t>
  </si>
  <si>
    <t>Two effect evaporator (2 t/hr)</t>
  </si>
  <si>
    <t>Производственные расходы в час</t>
  </si>
  <si>
    <t>VAT = 18%</t>
  </si>
  <si>
    <t>НДС = 18%</t>
  </si>
  <si>
    <t>Packaging line</t>
  </si>
  <si>
    <t>Production quantity per hour (ton/hour)</t>
  </si>
  <si>
    <t>Объем производства в час</t>
  </si>
  <si>
    <t>Transport cost $120 per ton, 3% sales commission</t>
  </si>
  <si>
    <t>Транспортные затраты $120 на тонну, 3% комиссионных с продаж</t>
  </si>
  <si>
    <t>Trucks</t>
  </si>
  <si>
    <t>Количество сотрудников (эквив.полн.з.)</t>
  </si>
  <si>
    <t>Processing ratio = 0.42</t>
  </si>
  <si>
    <t>Коэффициент использования (ппреработки) = 0.42</t>
  </si>
  <si>
    <t>Office</t>
  </si>
  <si>
    <t>З/пл. штатных сотр-в + соц. отчисления</t>
  </si>
  <si>
    <t>Other ingredient cost = $60 per ton</t>
  </si>
  <si>
    <t>Затраты на другие ингредиенты = $60 на тонну</t>
  </si>
  <si>
    <t>Стоимость единицы упаковки</t>
  </si>
  <si>
    <t>Другие накладные расходы</t>
  </si>
  <si>
    <t>Processing cost = $50 per hour</t>
  </si>
  <si>
    <t>Затраты на переработку = $50 на час</t>
  </si>
  <si>
    <t>Кол-во единиц упаковки на тонну</t>
  </si>
  <si>
    <t>Output = 1 ton per hour</t>
  </si>
  <si>
    <t>ГП = 1 тонна на час</t>
  </si>
  <si>
    <t>Cost of carton of 24 = $2,00</t>
  </si>
  <si>
    <t>Затраты на картонный ящик с 24 бутылками= $2,00</t>
  </si>
  <si>
    <t>FC (общие постоянные затраты)</t>
  </si>
  <si>
    <t>FG losses = 0.1%</t>
  </si>
  <si>
    <t>Потери на ГП = 0.1%</t>
  </si>
  <si>
    <t>Finished good losses after production %</t>
  </si>
  <si>
    <t>% потерь ГП</t>
  </si>
  <si>
    <t>FC %, отнесенные к продукту</t>
  </si>
  <si>
    <t>q = 150,000 cartons per year</t>
  </si>
  <si>
    <t>q = 150,000 картонных ящиков в год</t>
  </si>
  <si>
    <t>VC (общие переменные затраты)</t>
  </si>
  <si>
    <t>FC (отнесенные к продукту)</t>
  </si>
  <si>
    <t>Allocate Fixed Cost on 50% / 50% basis</t>
  </si>
  <si>
    <t>Размещение Постоянных Затрат на основе 50% / 50%</t>
  </si>
  <si>
    <t>How much is the total profit ?</t>
  </si>
  <si>
    <t>Какова общая прибыль?</t>
  </si>
  <si>
    <t>Валовая маржа (валовая прибыль)</t>
  </si>
  <si>
    <t>Quantity sold q (ton)</t>
  </si>
  <si>
    <t>Объем продаж q</t>
  </si>
  <si>
    <t>Коэффициент (%) валовой маржи</t>
  </si>
  <si>
    <t>Контрибуция/вклад</t>
  </si>
  <si>
    <t>Break-even quantity (sales)</t>
  </si>
  <si>
    <t>Точка безубыточности (по продажам)</t>
  </si>
  <si>
    <t>Break-even quantity (raw material)</t>
  </si>
  <si>
    <t>Точка безубыточности (по сырью)</t>
  </si>
  <si>
    <t>FC / q</t>
  </si>
  <si>
    <t>Мощность в час (в тоннах)</t>
  </si>
  <si>
    <t>TC / q</t>
  </si>
  <si>
    <t>Кол-во рабочих часов в день</t>
  </si>
  <si>
    <t>Длина сезона в днях</t>
  </si>
  <si>
    <t>Прибыль / q</t>
  </si>
  <si>
    <t>Максимальная мощность в год</t>
  </si>
  <si>
    <t>Загрузка (использование) мощностей %</t>
  </si>
  <si>
    <r>
      <t xml:space="preserve">Заметка: цифры </t>
    </r>
    <r>
      <rPr>
        <b/>
        <i/>
        <sz val="10"/>
        <color indexed="12"/>
        <rFont val="Calibri"/>
        <family val="2"/>
        <scheme val="minor"/>
      </rPr>
      <t>синим</t>
    </r>
    <r>
      <rPr>
        <i/>
        <sz val="10"/>
        <rFont val="Calibri"/>
        <family val="2"/>
        <scheme val="minor"/>
      </rPr>
      <t xml:space="preserve">-допущения; цифры </t>
    </r>
    <r>
      <rPr>
        <b/>
        <i/>
        <sz val="10"/>
        <color indexed="14"/>
        <rFont val="Calibri"/>
        <family val="2"/>
        <scheme val="minor"/>
      </rPr>
      <t>розовым</t>
    </r>
    <r>
      <rPr>
        <i/>
        <sz val="10"/>
        <rFont val="Calibri"/>
        <family val="2"/>
        <scheme val="minor"/>
      </rPr>
      <t xml:space="preserve">-рассчитаны на другом листе, цифры </t>
    </r>
    <r>
      <rPr>
        <b/>
        <i/>
        <sz val="10"/>
        <color indexed="8"/>
        <rFont val="Calibri"/>
        <family val="2"/>
        <scheme val="minor"/>
      </rPr>
      <t>черным</t>
    </r>
    <r>
      <rPr>
        <i/>
        <sz val="10"/>
        <rFont val="Calibri"/>
        <family val="2"/>
        <scheme val="minor"/>
      </rPr>
      <t xml:space="preserve"> -формулы</t>
    </r>
  </si>
  <si>
    <r>
      <t>Evaporator (</t>
    </r>
    <r>
      <rPr>
        <sz val="9"/>
        <color indexed="10"/>
        <rFont val="Calibri"/>
        <family val="2"/>
        <scheme val="minor"/>
      </rPr>
      <t>5 kg tomato = 1 kg paste</t>
    </r>
    <r>
      <rPr>
        <sz val="9"/>
        <rFont val="Calibri"/>
        <family val="2"/>
        <scheme val="minor"/>
      </rPr>
      <t>)</t>
    </r>
  </si>
  <si>
    <t>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</si>
</sst>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1" formatCode="_-* #,##0_-;\-* #,##0_-;_-* &quot;-&quot;_-;_-@_-"/>
    <numFmt numFmtId="43" formatCode="_-* #,##0.00_-;\-* #,##0.00_-;_-* &quot;-&quot;??_-;_-@_-"/>
    <numFmt numFmtId="164" formatCode="0_ ;[Red]\-0\ "/>
    <numFmt numFmtId="165" formatCode="0.0"/>
    <numFmt numFmtId="166" formatCode="0.0%"/>
    <numFmt numFmtId="167" formatCode="#,##0.0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_-* #,##0.0_-;\-* #,##0.0_-;_-* &quot;-&quot;??_-;_-@_-"/>
    <numFmt numFmtId="174" formatCode="_-* #,##0_-;\-* #,##0_-;_-* &quot;-&quot;??_-;_-@_-"/>
    <numFmt numFmtId="175" formatCode="0.00_ ;[Red]\-0.00\ "/>
    <numFmt numFmtId="176" formatCode="_-[$€-2]\ * #,##0.00_-;_-[$€-2]\ * #,##0.00\-;_-[$€-2]\ * &quot;-&quot;??_-"/>
    <numFmt numFmtId="178" formatCode="[$$-409]#,##0.00"/>
    <numFmt numFmtId="179" formatCode="&quot;Rs&quot;\ _-* #,##0.00_-;\-* #,##0.00_-;_-* &quot;-&quot;??_-;_-@_-"/>
    <numFmt numFmtId="180" formatCode="&quot;€&quot;#,##0.0"/>
    <numFmt numFmtId="181" formatCode="#,##0.00_ ;[Red]\-#,##0.00\ "/>
    <numFmt numFmtId="182" formatCode="#,##0.0\ &quot;gr&quot;"/>
    <numFmt numFmtId="183" formatCode="[$$-409]#,##0.00\ &quot;/loaf&quot;"/>
    <numFmt numFmtId="184" formatCode="#,##0\ &quot;gr&quot;"/>
    <numFmt numFmtId="185" formatCode="[$$-409]#,##0.00\ &quot;/kg&quot;"/>
    <numFmt numFmtId="186" formatCode="0.0\ &quot;kg&quot;"/>
    <numFmt numFmtId="187" formatCode="#,##0.0\ &quot;kg&quot;"/>
    <numFmt numFmtId="188" formatCode="[$$-409]#,##0_ ;[Red]\-[$$-409]#,##0\ "/>
    <numFmt numFmtId="189" formatCode="0\ &quot;g&quot;"/>
    <numFmt numFmtId="190" formatCode="0.00\ &quot;g&quot;"/>
  </numFmts>
  <fonts count="5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</font>
    <font>
      <sz val="12"/>
      <name val="Courier"/>
    </font>
    <font>
      <sz val="10"/>
      <name val="Arial"/>
      <family val="2"/>
    </font>
    <font>
      <sz val="8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2"/>
      <color indexed="81"/>
      <name val="Tahoma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indexed="12"/>
      <name val="Calibri"/>
      <family val="2"/>
      <scheme val="minor"/>
    </font>
    <font>
      <b/>
      <i/>
      <sz val="10"/>
      <color indexed="14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MS Sans Serif"/>
      <family val="2"/>
    </font>
    <font>
      <sz val="10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indexed="12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name val="Calibri"/>
      <family val="2"/>
      <scheme val="minor"/>
    </font>
    <font>
      <sz val="12"/>
      <color indexed="12"/>
      <name val="Calibri"/>
      <family val="2"/>
      <scheme val="minor"/>
    </font>
    <font>
      <u/>
      <sz val="12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" fillId="0" borderId="1"/>
    <xf numFmtId="9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455">
    <xf numFmtId="0" fontId="0" fillId="0" borderId="0" xfId="0"/>
    <xf numFmtId="0" fontId="9" fillId="14" borderId="0" xfId="11" applyFont="1" applyFill="1"/>
    <xf numFmtId="0" fontId="10" fillId="0" borderId="16" xfId="11" applyFont="1" applyBorder="1" applyAlignment="1">
      <alignment horizontal="left" vertical="top" wrapText="1"/>
    </xf>
    <xf numFmtId="0" fontId="10" fillId="0" borderId="15" xfId="11" applyFont="1" applyBorder="1" applyAlignment="1">
      <alignment horizontal="center" vertical="top" wrapText="1"/>
    </xf>
    <xf numFmtId="0" fontId="11" fillId="0" borderId="14" xfId="11" applyFont="1" applyBorder="1" applyAlignment="1">
      <alignment horizontal="justify" vertical="top" wrapText="1"/>
    </xf>
    <xf numFmtId="0" fontId="12" fillId="0" borderId="13" xfId="11" applyFont="1" applyBorder="1" applyAlignment="1">
      <alignment horizontal="right" vertical="top" wrapText="1"/>
    </xf>
    <xf numFmtId="0" fontId="11" fillId="0" borderId="13" xfId="11" applyFont="1" applyBorder="1" applyAlignment="1">
      <alignment horizontal="right" vertical="top" wrapText="1"/>
    </xf>
    <xf numFmtId="9" fontId="11" fillId="0" borderId="13" xfId="11" applyNumberFormat="1" applyFont="1" applyBorder="1" applyAlignment="1">
      <alignment horizontal="right" vertical="top" wrapText="1"/>
    </xf>
    <xf numFmtId="2" fontId="11" fillId="0" borderId="13" xfId="11" applyNumberFormat="1" applyFont="1" applyBorder="1" applyAlignment="1">
      <alignment horizontal="right" vertical="top" wrapText="1"/>
    </xf>
    <xf numFmtId="2" fontId="10" fillId="6" borderId="13" xfId="11" applyNumberFormat="1" applyFont="1" applyFill="1" applyBorder="1" applyAlignment="1">
      <alignment horizontal="right" vertical="top" wrapText="1"/>
    </xf>
    <xf numFmtId="3" fontId="11" fillId="0" borderId="13" xfId="11" applyNumberFormat="1" applyFont="1" applyBorder="1" applyAlignment="1">
      <alignment horizontal="right" vertical="top" wrapText="1"/>
    </xf>
    <xf numFmtId="2" fontId="13" fillId="0" borderId="13" xfId="11" applyNumberFormat="1" applyFont="1" applyBorder="1" applyAlignment="1">
      <alignment horizontal="right" vertical="top" wrapText="1"/>
    </xf>
    <xf numFmtId="3" fontId="13" fillId="0" borderId="13" xfId="11" applyNumberFormat="1" applyFont="1" applyBorder="1" applyAlignment="1">
      <alignment horizontal="right" vertical="top" wrapText="1"/>
    </xf>
    <xf numFmtId="0" fontId="13" fillId="0" borderId="13" xfId="11" applyFont="1" applyBorder="1" applyAlignment="1">
      <alignment horizontal="right" vertical="top" wrapText="1"/>
    </xf>
    <xf numFmtId="0" fontId="11" fillId="14" borderId="0" xfId="11" applyFont="1" applyFill="1" applyAlignment="1">
      <alignment horizontal="justify" vertical="top" wrapText="1"/>
    </xf>
    <xf numFmtId="0" fontId="11" fillId="14" borderId="0" xfId="11" applyFont="1" applyFill="1" applyAlignment="1">
      <alignment horizontal="right" vertical="top" wrapText="1"/>
    </xf>
    <xf numFmtId="9" fontId="11" fillId="14" borderId="0" xfId="11" applyNumberFormat="1" applyFont="1" applyFill="1" applyAlignment="1">
      <alignment horizontal="right" vertical="top" wrapText="1"/>
    </xf>
    <xf numFmtId="0" fontId="12" fillId="14" borderId="0" xfId="11" applyFont="1" applyFill="1" applyAlignment="1">
      <alignment horizontal="right" vertical="top" wrapText="1"/>
    </xf>
    <xf numFmtId="0" fontId="13" fillId="14" borderId="0" xfId="11" applyFont="1" applyFill="1" applyAlignment="1">
      <alignment horizontal="right" vertical="top" wrapText="1"/>
    </xf>
    <xf numFmtId="3" fontId="11" fillId="14" borderId="0" xfId="11" applyNumberFormat="1" applyFont="1" applyFill="1" applyAlignment="1">
      <alignment horizontal="right" vertical="top" wrapText="1"/>
    </xf>
    <xf numFmtId="1" fontId="11" fillId="0" borderId="13" xfId="11" applyNumberFormat="1" applyFont="1" applyBorder="1" applyAlignment="1">
      <alignment horizontal="right" vertical="top" wrapText="1"/>
    </xf>
    <xf numFmtId="0" fontId="14" fillId="10" borderId="0" xfId="0" applyFont="1" applyFill="1"/>
    <xf numFmtId="0" fontId="9" fillId="14" borderId="0" xfId="0" applyFont="1" applyFill="1"/>
    <xf numFmtId="0" fontId="16" fillId="14" borderId="0" xfId="0" applyFont="1" applyFill="1"/>
    <xf numFmtId="0" fontId="9" fillId="2" borderId="8" xfId="0" applyFont="1" applyFill="1" applyBorder="1"/>
    <xf numFmtId="0" fontId="9" fillId="2" borderId="10" xfId="0" applyFont="1" applyFill="1" applyBorder="1"/>
    <xf numFmtId="0" fontId="17" fillId="2" borderId="3" xfId="0" applyFont="1" applyFill="1" applyBorder="1" applyAlignment="1">
      <alignment horizontal="center"/>
    </xf>
    <xf numFmtId="0" fontId="9" fillId="2" borderId="9" xfId="0" applyFont="1" applyFill="1" applyBorder="1"/>
    <xf numFmtId="0" fontId="17" fillId="2" borderId="1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9" fillId="2" borderId="1" xfId="0" applyFont="1" applyFill="1" applyBorder="1"/>
    <xf numFmtId="174" fontId="9" fillId="2" borderId="0" xfId="0" applyNumberFormat="1" applyFont="1" applyFill="1"/>
    <xf numFmtId="0" fontId="17" fillId="2" borderId="9" xfId="0" applyFont="1" applyFill="1" applyBorder="1"/>
    <xf numFmtId="174" fontId="17" fillId="2" borderId="0" xfId="0" applyNumberFormat="1" applyFont="1" applyFill="1"/>
    <xf numFmtId="0" fontId="17" fillId="2" borderId="7" xfId="0" applyFont="1" applyFill="1" applyBorder="1"/>
    <xf numFmtId="0" fontId="9" fillId="2" borderId="3" xfId="0" applyFont="1" applyFill="1" applyBorder="1"/>
    <xf numFmtId="1" fontId="16" fillId="2" borderId="11" xfId="0" applyNumberFormat="1" applyFont="1" applyFill="1" applyBorder="1"/>
    <xf numFmtId="0" fontId="9" fillId="2" borderId="0" xfId="0" applyFont="1" applyFill="1"/>
    <xf numFmtId="165" fontId="16" fillId="2" borderId="11" xfId="0" applyNumberFormat="1" applyFont="1" applyFill="1" applyBorder="1"/>
    <xf numFmtId="166" fontId="16" fillId="2" borderId="11" xfId="0" applyNumberFormat="1" applyFont="1" applyFill="1" applyBorder="1"/>
    <xf numFmtId="0" fontId="19" fillId="16" borderId="8" xfId="0" applyFont="1" applyFill="1" applyBorder="1"/>
    <xf numFmtId="0" fontId="19" fillId="17" borderId="3" xfId="0" applyFont="1" applyFill="1" applyBorder="1" applyAlignment="1">
      <alignment horizontal="center"/>
    </xf>
    <xf numFmtId="0" fontId="16" fillId="2" borderId="11" xfId="0" applyFont="1" applyFill="1" applyBorder="1"/>
    <xf numFmtId="9" fontId="16" fillId="2" borderId="0" xfId="0" applyNumberFormat="1" applyFont="1" applyFill="1"/>
    <xf numFmtId="180" fontId="9" fillId="2" borderId="0" xfId="0" applyNumberFormat="1" applyFont="1" applyFill="1"/>
    <xf numFmtId="9" fontId="9" fillId="2" borderId="0" xfId="0" applyNumberFormat="1" applyFont="1" applyFill="1"/>
    <xf numFmtId="9" fontId="9" fillId="2" borderId="2" xfId="0" applyNumberFormat="1" applyFont="1" applyFill="1" applyBorder="1"/>
    <xf numFmtId="180" fontId="20" fillId="2" borderId="2" xfId="0" applyNumberFormat="1" applyFont="1" applyFill="1" applyBorder="1"/>
    <xf numFmtId="180" fontId="17" fillId="2" borderId="2" xfId="0" applyNumberFormat="1" applyFont="1" applyFill="1" applyBorder="1"/>
    <xf numFmtId="0" fontId="9" fillId="2" borderId="12" xfId="0" applyFont="1" applyFill="1" applyBorder="1"/>
    <xf numFmtId="167" fontId="16" fillId="2" borderId="11" xfId="0" applyNumberFormat="1" applyFont="1" applyFill="1" applyBorder="1"/>
    <xf numFmtId="0" fontId="9" fillId="20" borderId="0" xfId="0" applyFont="1" applyFill="1"/>
    <xf numFmtId="0" fontId="19" fillId="18" borderId="3" xfId="0" applyFont="1" applyFill="1" applyBorder="1" applyAlignment="1">
      <alignment horizontal="center"/>
    </xf>
    <xf numFmtId="0" fontId="9" fillId="0" borderId="9" xfId="0" applyFont="1" applyBorder="1"/>
    <xf numFmtId="0" fontId="9" fillId="0" borderId="0" xfId="0" applyFont="1"/>
    <xf numFmtId="166" fontId="17" fillId="18" borderId="0" xfId="6" applyNumberFormat="1" applyFont="1" applyFill="1"/>
    <xf numFmtId="0" fontId="21" fillId="19" borderId="3" xfId="0" applyFont="1" applyFill="1" applyBorder="1" applyAlignment="1">
      <alignment horizontal="center"/>
    </xf>
    <xf numFmtId="0" fontId="9" fillId="2" borderId="7" xfId="0" applyFont="1" applyFill="1" applyBorder="1"/>
    <xf numFmtId="0" fontId="9" fillId="2" borderId="2" xfId="0" applyFont="1" applyFill="1" applyBorder="1"/>
    <xf numFmtId="0" fontId="18" fillId="2" borderId="7" xfId="0" applyFont="1" applyFill="1" applyBorder="1"/>
    <xf numFmtId="166" fontId="9" fillId="6" borderId="0" xfId="6" applyNumberFormat="1" applyFont="1" applyFill="1"/>
    <xf numFmtId="166" fontId="24" fillId="19" borderId="0" xfId="6" applyNumberFormat="1" applyFont="1" applyFill="1"/>
    <xf numFmtId="166" fontId="16" fillId="20" borderId="2" xfId="6" applyNumberFormat="1" applyFont="1" applyFill="1" applyBorder="1"/>
    <xf numFmtId="166" fontId="9" fillId="20" borderId="2" xfId="6" applyNumberFormat="1" applyFont="1" applyFill="1" applyBorder="1"/>
    <xf numFmtId="166" fontId="16" fillId="21" borderId="0" xfId="6" applyNumberFormat="1" applyFont="1" applyFill="1"/>
    <xf numFmtId="0" fontId="9" fillId="21" borderId="1" xfId="0" applyFont="1" applyFill="1" applyBorder="1"/>
    <xf numFmtId="180" fontId="9" fillId="17" borderId="0" xfId="0" applyNumberFormat="1" applyFont="1" applyFill="1"/>
    <xf numFmtId="180" fontId="9" fillId="18" borderId="0" xfId="0" applyNumberFormat="1" applyFont="1" applyFill="1"/>
    <xf numFmtId="180" fontId="24" fillId="19" borderId="0" xfId="0" applyNumberFormat="1" applyFont="1" applyFill="1"/>
    <xf numFmtId="0" fontId="24" fillId="22" borderId="0" xfId="0" applyFont="1" applyFill="1"/>
    <xf numFmtId="0" fontId="21" fillId="15" borderId="3" xfId="0" applyFont="1" applyFill="1" applyBorder="1" applyAlignment="1">
      <alignment horizontal="center"/>
    </xf>
    <xf numFmtId="180" fontId="24" fillId="15" borderId="0" xfId="0" applyNumberFormat="1" applyFont="1" applyFill="1"/>
    <xf numFmtId="166" fontId="24" fillId="15" borderId="0" xfId="6" applyNumberFormat="1" applyFont="1" applyFill="1"/>
    <xf numFmtId="0" fontId="19" fillId="2" borderId="3" xfId="0" applyFont="1" applyFill="1" applyBorder="1"/>
    <xf numFmtId="0" fontId="17" fillId="2" borderId="0" xfId="0" applyFont="1" applyFill="1" applyAlignment="1">
      <alignment horizontal="right"/>
    </xf>
    <xf numFmtId="0" fontId="9" fillId="14" borderId="0" xfId="14" applyFont="1" applyFill="1"/>
    <xf numFmtId="0" fontId="9" fillId="2" borderId="12" xfId="14" applyFont="1" applyFill="1" applyBorder="1"/>
    <xf numFmtId="0" fontId="9" fillId="2" borderId="2" xfId="14" applyFont="1" applyFill="1" applyBorder="1"/>
    <xf numFmtId="0" fontId="18" fillId="2" borderId="7" xfId="14" applyFont="1" applyFill="1" applyBorder="1"/>
    <xf numFmtId="0" fontId="9" fillId="2" borderId="1" xfId="14" applyFont="1" applyFill="1" applyBorder="1"/>
    <xf numFmtId="9" fontId="9" fillId="2" borderId="0" xfId="15" applyFont="1" applyFill="1"/>
    <xf numFmtId="0" fontId="9" fillId="2" borderId="0" xfId="14" applyFont="1" applyFill="1" applyAlignment="1">
      <alignment horizontal="right"/>
    </xf>
    <xf numFmtId="0" fontId="9" fillId="2" borderId="0" xfId="14" applyFont="1" applyFill="1"/>
    <xf numFmtId="0" fontId="9" fillId="2" borderId="9" xfId="14" applyFont="1" applyFill="1" applyBorder="1"/>
    <xf numFmtId="0" fontId="9" fillId="2" borderId="10" xfId="14" applyFont="1" applyFill="1" applyBorder="1"/>
    <xf numFmtId="9" fontId="9" fillId="2" borderId="3" xfId="15" applyFont="1" applyFill="1" applyBorder="1"/>
    <xf numFmtId="0" fontId="9" fillId="2" borderId="3" xfId="14" applyFont="1" applyFill="1" applyBorder="1" applyAlignment="1">
      <alignment horizontal="right"/>
    </xf>
    <xf numFmtId="0" fontId="9" fillId="2" borderId="3" xfId="14" applyFont="1" applyFill="1" applyBorder="1"/>
    <xf numFmtId="0" fontId="9" fillId="2" borderId="8" xfId="14" applyFont="1" applyFill="1" applyBorder="1"/>
    <xf numFmtId="0" fontId="11" fillId="2" borderId="12" xfId="14" applyFont="1" applyFill="1" applyBorder="1"/>
    <xf numFmtId="9" fontId="11" fillId="2" borderId="2" xfId="15" applyFont="1" applyFill="1" applyBorder="1"/>
    <xf numFmtId="0" fontId="11" fillId="2" borderId="7" xfId="14" applyFont="1" applyFill="1" applyBorder="1"/>
    <xf numFmtId="0" fontId="11" fillId="2" borderId="2" xfId="14" applyFont="1" applyFill="1" applyBorder="1"/>
    <xf numFmtId="174" fontId="26" fillId="2" borderId="1" xfId="14" applyNumberFormat="1" applyFont="1" applyFill="1" applyBorder="1"/>
    <xf numFmtId="174" fontId="10" fillId="2" borderId="0" xfId="16" applyNumberFormat="1" applyFont="1" applyFill="1"/>
    <xf numFmtId="0" fontId="10" fillId="2" borderId="9" xfId="14" applyFont="1" applyFill="1" applyBorder="1"/>
    <xf numFmtId="0" fontId="11" fillId="2" borderId="1" xfId="14" applyFont="1" applyFill="1" applyBorder="1"/>
    <xf numFmtId="0" fontId="11" fillId="2" borderId="0" xfId="14" applyFont="1" applyFill="1"/>
    <xf numFmtId="0" fontId="11" fillId="2" borderId="9" xfId="14" applyFont="1" applyFill="1" applyBorder="1"/>
    <xf numFmtId="174" fontId="12" fillId="2" borderId="11" xfId="16" applyNumberFormat="1" applyFont="1" applyFill="1" applyBorder="1"/>
    <xf numFmtId="9" fontId="26" fillId="2" borderId="1" xfId="15" applyFont="1" applyFill="1" applyBorder="1" applyAlignment="1">
      <alignment horizontal="left"/>
    </xf>
    <xf numFmtId="181" fontId="10" fillId="2" borderId="0" xfId="16" applyNumberFormat="1" applyFont="1" applyFill="1"/>
    <xf numFmtId="181" fontId="11" fillId="2" borderId="0" xfId="16" applyNumberFormat="1" applyFont="1" applyFill="1"/>
    <xf numFmtId="174" fontId="27" fillId="2" borderId="11" xfId="16" applyNumberFormat="1" applyFont="1" applyFill="1" applyBorder="1"/>
    <xf numFmtId="174" fontId="11" fillId="2" borderId="0" xfId="14" applyNumberFormat="1" applyFont="1" applyFill="1"/>
    <xf numFmtId="174" fontId="10" fillId="2" borderId="0" xfId="14" applyNumberFormat="1" applyFont="1" applyFill="1"/>
    <xf numFmtId="174" fontId="11" fillId="2" borderId="0" xfId="15" applyNumberFormat="1" applyFont="1" applyFill="1"/>
    <xf numFmtId="0" fontId="11" fillId="2" borderId="1" xfId="14" applyFont="1" applyFill="1" applyBorder="1" applyAlignment="1">
      <alignment horizontal="right"/>
    </xf>
    <xf numFmtId="172" fontId="10" fillId="2" borderId="0" xfId="16" applyNumberFormat="1" applyFont="1" applyFill="1"/>
    <xf numFmtId="9" fontId="11" fillId="2" borderId="0" xfId="17" applyFont="1" applyFill="1"/>
    <xf numFmtId="43" fontId="10" fillId="2" borderId="0" xfId="16" applyFont="1" applyFill="1"/>
    <xf numFmtId="0" fontId="26" fillId="2" borderId="1" xfId="14" applyFont="1" applyFill="1" applyBorder="1" applyAlignment="1">
      <alignment horizontal="right"/>
    </xf>
    <xf numFmtId="0" fontId="11" fillId="2" borderId="3" xfId="14" applyFont="1" applyFill="1" applyBorder="1"/>
    <xf numFmtId="0" fontId="11" fillId="2" borderId="8" xfId="14" applyFont="1" applyFill="1" applyBorder="1"/>
    <xf numFmtId="43" fontId="11" fillId="2" borderId="3" xfId="16" applyFont="1" applyFill="1" applyBorder="1"/>
    <xf numFmtId="9" fontId="26" fillId="2" borderId="12" xfId="15" applyFont="1" applyFill="1" applyBorder="1" applyAlignment="1">
      <alignment horizontal="left"/>
    </xf>
    <xf numFmtId="174" fontId="10" fillId="2" borderId="2" xfId="14" applyNumberFormat="1" applyFont="1" applyFill="1" applyBorder="1"/>
    <xf numFmtId="0" fontId="10" fillId="2" borderId="7" xfId="14" applyFont="1" applyFill="1" applyBorder="1"/>
    <xf numFmtId="43" fontId="10" fillId="2" borderId="2" xfId="16" applyFont="1" applyFill="1" applyBorder="1"/>
    <xf numFmtId="166" fontId="27" fillId="2" borderId="11" xfId="14" applyNumberFormat="1" applyFont="1" applyFill="1" applyBorder="1"/>
    <xf numFmtId="9" fontId="12" fillId="2" borderId="11" xfId="17" applyFont="1" applyFill="1" applyBorder="1" applyAlignment="1">
      <alignment horizontal="center"/>
    </xf>
    <xf numFmtId="43" fontId="11" fillId="2" borderId="0" xfId="14" applyNumberFormat="1" applyFont="1" applyFill="1"/>
    <xf numFmtId="0" fontId="9" fillId="20" borderId="0" xfId="14" applyFont="1" applyFill="1"/>
    <xf numFmtId="178" fontId="9" fillId="20" borderId="0" xfId="14" applyNumberFormat="1" applyFont="1" applyFill="1"/>
    <xf numFmtId="166" fontId="9" fillId="20" borderId="0" xfId="18" applyNumberFormat="1" applyFont="1" applyFill="1"/>
    <xf numFmtId="182" fontId="9" fillId="20" borderId="0" xfId="14" applyNumberFormat="1" applyFont="1" applyFill="1"/>
    <xf numFmtId="183" fontId="9" fillId="20" borderId="0" xfId="14" applyNumberFormat="1" applyFont="1" applyFill="1"/>
    <xf numFmtId="184" fontId="29" fillId="20" borderId="0" xfId="14" applyNumberFormat="1" applyFont="1" applyFill="1"/>
    <xf numFmtId="184" fontId="9" fillId="20" borderId="0" xfId="14" applyNumberFormat="1" applyFont="1" applyFill="1"/>
    <xf numFmtId="43" fontId="12" fillId="2" borderId="11" xfId="14" applyNumberFormat="1" applyFont="1" applyFill="1" applyBorder="1"/>
    <xf numFmtId="185" fontId="9" fillId="20" borderId="0" xfId="14" applyNumberFormat="1" applyFont="1" applyFill="1"/>
    <xf numFmtId="186" fontId="9" fillId="20" borderId="0" xfId="14" applyNumberFormat="1" applyFont="1" applyFill="1"/>
    <xf numFmtId="9" fontId="17" fillId="20" borderId="0" xfId="14" applyNumberFormat="1" applyFont="1" applyFill="1"/>
    <xf numFmtId="43" fontId="12" fillId="20" borderId="11" xfId="14" applyNumberFormat="1" applyFont="1" applyFill="1" applyBorder="1"/>
    <xf numFmtId="9" fontId="9" fillId="20" borderId="0" xfId="14" applyNumberFormat="1" applyFont="1" applyFill="1"/>
    <xf numFmtId="9" fontId="29" fillId="20" borderId="0" xfId="18" applyFont="1" applyFill="1"/>
    <xf numFmtId="0" fontId="9" fillId="20" borderId="2" xfId="14" applyFont="1" applyFill="1" applyBorder="1"/>
    <xf numFmtId="178" fontId="9" fillId="20" borderId="2" xfId="14" applyNumberFormat="1" applyFont="1" applyFill="1" applyBorder="1"/>
    <xf numFmtId="186" fontId="9" fillId="20" borderId="2" xfId="14" applyNumberFormat="1" applyFont="1" applyFill="1" applyBorder="1"/>
    <xf numFmtId="184" fontId="9" fillId="20" borderId="2" xfId="14" applyNumberFormat="1" applyFont="1" applyFill="1" applyBorder="1"/>
    <xf numFmtId="172" fontId="9" fillId="20" borderId="0" xfId="14" applyNumberFormat="1" applyFont="1" applyFill="1"/>
    <xf numFmtId="172" fontId="29" fillId="20" borderId="0" xfId="14" applyNumberFormat="1" applyFont="1" applyFill="1"/>
    <xf numFmtId="9" fontId="17" fillId="20" borderId="0" xfId="18" applyFont="1" applyFill="1"/>
    <xf numFmtId="178" fontId="17" fillId="20" borderId="0" xfId="14" applyNumberFormat="1" applyFont="1" applyFill="1"/>
    <xf numFmtId="186" fontId="17" fillId="20" borderId="0" xfId="14" applyNumberFormat="1" applyFont="1" applyFill="1"/>
    <xf numFmtId="187" fontId="17" fillId="20" borderId="0" xfId="14" applyNumberFormat="1" applyFont="1" applyFill="1"/>
    <xf numFmtId="0" fontId="17" fillId="20" borderId="0" xfId="14" applyFont="1" applyFill="1"/>
    <xf numFmtId="165" fontId="12" fillId="2" borderId="1" xfId="14" applyNumberFormat="1" applyFont="1" applyFill="1" applyBorder="1"/>
    <xf numFmtId="43" fontId="12" fillId="2" borderId="11" xfId="16" applyFont="1" applyFill="1" applyBorder="1"/>
    <xf numFmtId="178" fontId="29" fillId="20" borderId="0" xfId="14" applyNumberFormat="1" applyFont="1" applyFill="1"/>
    <xf numFmtId="187" fontId="9" fillId="20" borderId="0" xfId="14" applyNumberFormat="1" applyFont="1" applyFill="1"/>
    <xf numFmtId="166" fontId="12" fillId="2" borderId="11" xfId="14" applyNumberFormat="1" applyFont="1" applyFill="1" applyBorder="1"/>
    <xf numFmtId="43" fontId="11" fillId="2" borderId="0" xfId="16" applyFont="1" applyFill="1"/>
    <xf numFmtId="166" fontId="29" fillId="20" borderId="0" xfId="18" applyNumberFormat="1" applyFont="1" applyFill="1"/>
    <xf numFmtId="188" fontId="26" fillId="2" borderId="1" xfId="16" applyNumberFormat="1" applyFont="1" applyFill="1" applyBorder="1"/>
    <xf numFmtId="178" fontId="9" fillId="14" borderId="0" xfId="14" applyNumberFormat="1" applyFont="1" applyFill="1"/>
    <xf numFmtId="187" fontId="29" fillId="20" borderId="0" xfId="14" applyNumberFormat="1" applyFont="1" applyFill="1"/>
    <xf numFmtId="0" fontId="26" fillId="2" borderId="1" xfId="14" applyFont="1" applyFill="1" applyBorder="1"/>
    <xf numFmtId="9" fontId="27" fillId="2" borderId="11" xfId="19" applyNumberFormat="1" applyFont="1" applyFill="1" applyBorder="1"/>
    <xf numFmtId="0" fontId="30" fillId="22" borderId="2" xfId="14" applyFont="1" applyFill="1" applyBorder="1" applyAlignment="1">
      <alignment horizontal="right"/>
    </xf>
    <xf numFmtId="0" fontId="30" fillId="22" borderId="2" xfId="14" applyFont="1" applyFill="1" applyBorder="1"/>
    <xf numFmtId="0" fontId="26" fillId="2" borderId="10" xfId="14" applyFont="1" applyFill="1" applyBorder="1"/>
    <xf numFmtId="0" fontId="11" fillId="2" borderId="10" xfId="14" applyFont="1" applyFill="1" applyBorder="1"/>
    <xf numFmtId="174" fontId="11" fillId="2" borderId="3" xfId="16" applyNumberFormat="1" applyFont="1" applyFill="1" applyBorder="1"/>
    <xf numFmtId="0" fontId="10" fillId="2" borderId="1" xfId="14" applyFont="1" applyFill="1" applyBorder="1" applyAlignment="1">
      <alignment horizontal="center"/>
    </xf>
    <xf numFmtId="172" fontId="10" fillId="2" borderId="2" xfId="14" applyNumberFormat="1" applyFont="1" applyFill="1" applyBorder="1"/>
    <xf numFmtId="9" fontId="26" fillId="2" borderId="0" xfId="15" applyFont="1" applyFill="1" applyAlignment="1">
      <alignment horizontal="left"/>
    </xf>
    <xf numFmtId="9" fontId="11" fillId="2" borderId="0" xfId="15" applyFont="1" applyFill="1"/>
    <xf numFmtId="172" fontId="10" fillId="2" borderId="0" xfId="14" applyNumberFormat="1" applyFont="1" applyFill="1"/>
    <xf numFmtId="172" fontId="11" fillId="2" borderId="0" xfId="14" applyNumberFormat="1" applyFont="1" applyFill="1"/>
    <xf numFmtId="172" fontId="11" fillId="2" borderId="0" xfId="16" applyNumberFormat="1" applyFont="1" applyFill="1"/>
    <xf numFmtId="0" fontId="10" fillId="2" borderId="0" xfId="14" applyFont="1" applyFill="1" applyAlignment="1">
      <alignment horizontal="center"/>
    </xf>
    <xf numFmtId="0" fontId="10" fillId="2" borderId="9" xfId="14" applyFont="1" applyFill="1" applyBorder="1" applyAlignment="1">
      <alignment horizontal="center"/>
    </xf>
    <xf numFmtId="174" fontId="10" fillId="2" borderId="0" xfId="16" applyNumberFormat="1" applyFont="1" applyFill="1" applyAlignment="1">
      <alignment horizontal="center"/>
    </xf>
    <xf numFmtId="174" fontId="10" fillId="2" borderId="3" xfId="14" applyNumberFormat="1" applyFont="1" applyFill="1" applyBorder="1" applyAlignment="1">
      <alignment horizontal="center"/>
    </xf>
    <xf numFmtId="174" fontId="10" fillId="2" borderId="3" xfId="16" applyNumberFormat="1" applyFont="1" applyFill="1" applyBorder="1" applyAlignment="1">
      <alignment horizontal="center"/>
    </xf>
    <xf numFmtId="3" fontId="31" fillId="23" borderId="10" xfId="14" applyNumberFormat="1" applyFont="1" applyFill="1" applyBorder="1" applyAlignment="1">
      <alignment horizontal="center"/>
    </xf>
    <xf numFmtId="0" fontId="24" fillId="23" borderId="3" xfId="14" applyFont="1" applyFill="1" applyBorder="1"/>
    <xf numFmtId="0" fontId="25" fillId="23" borderId="3" xfId="14" applyFont="1" applyFill="1" applyBorder="1"/>
    <xf numFmtId="189" fontId="25" fillId="23" borderId="3" xfId="16" applyNumberFormat="1" applyFont="1" applyFill="1" applyBorder="1"/>
    <xf numFmtId="0" fontId="32" fillId="23" borderId="8" xfId="14" applyFont="1" applyFill="1" applyBorder="1"/>
    <xf numFmtId="0" fontId="30" fillId="22" borderId="6" xfId="14" applyFont="1" applyFill="1" applyBorder="1" applyAlignment="1">
      <alignment horizontal="center"/>
    </xf>
    <xf numFmtId="0" fontId="25" fillId="22" borderId="5" xfId="14" applyFont="1" applyFill="1" applyBorder="1" applyAlignment="1">
      <alignment horizontal="center"/>
    </xf>
    <xf numFmtId="0" fontId="25" fillId="22" borderId="5" xfId="14" applyFont="1" applyFill="1" applyBorder="1"/>
    <xf numFmtId="0" fontId="24" fillId="22" borderId="5" xfId="14" quotePrefix="1" applyFont="1" applyFill="1" applyBorder="1"/>
    <xf numFmtId="190" fontId="25" fillId="22" borderId="5" xfId="16" applyNumberFormat="1" applyFont="1" applyFill="1" applyBorder="1"/>
    <xf numFmtId="0" fontId="32" fillId="22" borderId="4" xfId="14" applyFont="1" applyFill="1" applyBorder="1"/>
    <xf numFmtId="0" fontId="37" fillId="14" borderId="0" xfId="0" applyFont="1" applyFill="1"/>
    <xf numFmtId="0" fontId="37" fillId="14" borderId="0" xfId="0" applyFont="1" applyFill="1" applyAlignment="1">
      <alignment horizontal="center"/>
    </xf>
    <xf numFmtId="0" fontId="25" fillId="19" borderId="4" xfId="0" applyFont="1" applyFill="1" applyBorder="1"/>
    <xf numFmtId="0" fontId="30" fillId="19" borderId="11" xfId="0" applyFont="1" applyFill="1" applyBorder="1"/>
    <xf numFmtId="174" fontId="9" fillId="19" borderId="5" xfId="12" applyNumberFormat="1" applyFont="1" applyFill="1" applyBorder="1"/>
    <xf numFmtId="0" fontId="9" fillId="19" borderId="6" xfId="0" applyFont="1" applyFill="1" applyBorder="1"/>
    <xf numFmtId="0" fontId="9" fillId="19" borderId="5" xfId="0" applyFont="1" applyFill="1" applyBorder="1"/>
    <xf numFmtId="0" fontId="24" fillId="19" borderId="5" xfId="0" applyFont="1" applyFill="1" applyBorder="1"/>
    <xf numFmtId="0" fontId="24" fillId="19" borderId="6" xfId="0" applyFont="1" applyFill="1" applyBorder="1"/>
    <xf numFmtId="0" fontId="9" fillId="14" borderId="0" xfId="0" applyFont="1" applyFill="1" applyAlignment="1">
      <alignment horizontal="center"/>
    </xf>
    <xf numFmtId="174" fontId="17" fillId="2" borderId="3" xfId="12" applyNumberFormat="1" applyFont="1" applyFill="1" applyBorder="1" applyAlignment="1">
      <alignment horizontal="center"/>
    </xf>
    <xf numFmtId="174" fontId="17" fillId="2" borderId="0" xfId="12" applyNumberFormat="1" applyFont="1" applyFill="1" applyAlignment="1">
      <alignment horizontal="center"/>
    </xf>
    <xf numFmtId="174" fontId="16" fillId="2" borderId="11" xfId="12" applyNumberFormat="1" applyFont="1" applyFill="1" applyBorder="1"/>
    <xf numFmtId="9" fontId="18" fillId="2" borderId="0" xfId="13" applyFont="1" applyFill="1" applyAlignment="1">
      <alignment horizontal="left"/>
    </xf>
    <xf numFmtId="174" fontId="9" fillId="2" borderId="0" xfId="12" applyNumberFormat="1" applyFont="1" applyFill="1"/>
    <xf numFmtId="0" fontId="17" fillId="2" borderId="0" xfId="0" applyFont="1" applyFill="1"/>
    <xf numFmtId="174" fontId="17" fillId="2" borderId="0" xfId="12" applyNumberFormat="1" applyFont="1" applyFill="1"/>
    <xf numFmtId="0" fontId="17" fillId="20" borderId="7" xfId="0" applyFont="1" applyFill="1" applyBorder="1"/>
    <xf numFmtId="0" fontId="9" fillId="20" borderId="2" xfId="0" applyFont="1" applyFill="1" applyBorder="1"/>
    <xf numFmtId="174" fontId="17" fillId="20" borderId="2" xfId="0" applyNumberFormat="1" applyFont="1" applyFill="1" applyBorder="1"/>
    <xf numFmtId="174" fontId="9" fillId="2" borderId="3" xfId="12" applyNumberFormat="1" applyFont="1" applyFill="1" applyBorder="1"/>
    <xf numFmtId="0" fontId="9" fillId="20" borderId="0" xfId="0" applyFont="1" applyFill="1" applyAlignment="1">
      <alignment horizontal="left"/>
    </xf>
    <xf numFmtId="0" fontId="17" fillId="24" borderId="8" xfId="0" applyFont="1" applyFill="1" applyBorder="1" applyAlignment="1">
      <alignment horizontal="center" vertical="center"/>
    </xf>
    <xf numFmtId="0" fontId="17" fillId="24" borderId="3" xfId="0" applyFont="1" applyFill="1" applyBorder="1"/>
    <xf numFmtId="0" fontId="17" fillId="24" borderId="3" xfId="0" applyFont="1" applyFill="1" applyBorder="1" applyAlignment="1">
      <alignment horizontal="center"/>
    </xf>
    <xf numFmtId="0" fontId="17" fillId="24" borderId="10" xfId="0" applyFont="1" applyFill="1" applyBorder="1"/>
    <xf numFmtId="9" fontId="18" fillId="2" borderId="1" xfId="13" applyFont="1" applyFill="1" applyBorder="1" applyAlignment="1">
      <alignment horizontal="left"/>
    </xf>
    <xf numFmtId="0" fontId="9" fillId="20" borderId="0" xfId="0" applyFont="1" applyFill="1" applyAlignment="1">
      <alignment horizontal="center"/>
    </xf>
    <xf numFmtId="0" fontId="17" fillId="24" borderId="9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left" vertical="center"/>
    </xf>
    <xf numFmtId="41" fontId="16" fillId="24" borderId="0" xfId="19" applyFont="1" applyFill="1" applyAlignment="1">
      <alignment horizontal="right" vertical="center"/>
    </xf>
    <xf numFmtId="9" fontId="16" fillId="24" borderId="0" xfId="19" applyNumberFormat="1" applyFont="1" applyFill="1" applyAlignment="1">
      <alignment horizontal="right" vertical="center"/>
    </xf>
    <xf numFmtId="41" fontId="9" fillId="24" borderId="1" xfId="19" applyFont="1" applyFill="1" applyBorder="1" applyAlignment="1">
      <alignment horizontal="right" vertical="center"/>
    </xf>
    <xf numFmtId="165" fontId="16" fillId="2" borderId="1" xfId="0" applyNumberFormat="1" applyFont="1" applyFill="1" applyBorder="1"/>
    <xf numFmtId="173" fontId="38" fillId="2" borderId="11" xfId="0" applyNumberFormat="1" applyFont="1" applyFill="1" applyBorder="1"/>
    <xf numFmtId="0" fontId="9" fillId="24" borderId="1" xfId="0" applyFont="1" applyFill="1" applyBorder="1"/>
    <xf numFmtId="0" fontId="17" fillId="24" borderId="7" xfId="0" applyFont="1" applyFill="1" applyBorder="1" applyAlignment="1">
      <alignment horizontal="center" vertical="center"/>
    </xf>
    <xf numFmtId="0" fontId="17" fillId="24" borderId="2" xfId="0" applyFont="1" applyFill="1" applyBorder="1" applyAlignment="1">
      <alignment vertical="center"/>
    </xf>
    <xf numFmtId="41" fontId="17" fillId="24" borderId="2" xfId="19" applyFont="1" applyFill="1" applyBorder="1" applyAlignment="1">
      <alignment horizontal="right" vertical="center"/>
    </xf>
    <xf numFmtId="166" fontId="17" fillId="24" borderId="2" xfId="15" applyNumberFormat="1" applyFont="1" applyFill="1" applyBorder="1" applyAlignment="1">
      <alignment horizontal="right" vertical="center"/>
    </xf>
    <xf numFmtId="41" fontId="17" fillId="24" borderId="12" xfId="19" applyFont="1" applyFill="1" applyBorder="1" applyAlignment="1">
      <alignment horizontal="right" vertical="center"/>
    </xf>
    <xf numFmtId="174" fontId="17" fillId="2" borderId="0" xfId="12" applyNumberFormat="1" applyFont="1" applyFill="1" applyAlignment="1">
      <alignment horizontal="left" indent="1"/>
    </xf>
    <xf numFmtId="166" fontId="29" fillId="2" borderId="11" xfId="0" applyNumberFormat="1" applyFont="1" applyFill="1" applyBorder="1"/>
    <xf numFmtId="3" fontId="9" fillId="14" borderId="0" xfId="0" applyNumberFormat="1" applyFont="1" applyFill="1"/>
    <xf numFmtId="166" fontId="9" fillId="14" borderId="0" xfId="0" applyNumberFormat="1" applyFont="1" applyFill="1"/>
    <xf numFmtId="0" fontId="17" fillId="0" borderId="2" xfId="0" applyFont="1" applyBorder="1"/>
    <xf numFmtId="174" fontId="17" fillId="2" borderId="2" xfId="12" applyNumberFormat="1" applyFont="1" applyFill="1" applyBorder="1"/>
    <xf numFmtId="9" fontId="18" fillId="2" borderId="12" xfId="13" applyFont="1" applyFill="1" applyBorder="1" applyAlignment="1">
      <alignment horizontal="left"/>
    </xf>
    <xf numFmtId="0" fontId="9" fillId="25" borderId="0" xfId="0" applyFont="1" applyFill="1"/>
    <xf numFmtId="9" fontId="9" fillId="2" borderId="0" xfId="17" applyFont="1" applyFill="1"/>
    <xf numFmtId="0" fontId="17" fillId="0" borderId="9" xfId="0" applyFont="1" applyBorder="1"/>
    <xf numFmtId="9" fontId="9" fillId="2" borderId="2" xfId="13" applyFont="1" applyFill="1" applyBorder="1"/>
    <xf numFmtId="0" fontId="17" fillId="2" borderId="2" xfId="0" applyFont="1" applyFill="1" applyBorder="1"/>
    <xf numFmtId="0" fontId="9" fillId="0" borderId="1" xfId="0" applyFont="1" applyBorder="1"/>
    <xf numFmtId="173" fontId="29" fillId="2" borderId="11" xfId="12" applyNumberFormat="1" applyFont="1" applyFill="1" applyBorder="1"/>
    <xf numFmtId="9" fontId="9" fillId="2" borderId="2" xfId="15" applyFont="1" applyFill="1" applyBorder="1"/>
    <xf numFmtId="0" fontId="18" fillId="2" borderId="4" xfId="0" applyFont="1" applyFill="1" applyBorder="1"/>
    <xf numFmtId="0" fontId="15" fillId="10" borderId="0" xfId="0" applyFont="1" applyFill="1"/>
    <xf numFmtId="0" fontId="9" fillId="8" borderId="0" xfId="0" applyFont="1" applyFill="1"/>
    <xf numFmtId="0" fontId="17" fillId="0" borderId="4" xfId="0" applyFont="1" applyBorder="1" applyAlignment="1">
      <alignment vertical="top"/>
    </xf>
    <xf numFmtId="0" fontId="17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center" vertical="top" wrapText="1"/>
    </xf>
    <xf numFmtId="0" fontId="17" fillId="7" borderId="5" xfId="0" applyFont="1" applyFill="1" applyBorder="1" applyAlignment="1">
      <alignment horizontal="center" vertical="top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43" fontId="16" fillId="0" borderId="0" xfId="1" applyFont="1"/>
    <xf numFmtId="9" fontId="16" fillId="0" borderId="0" xfId="1" applyNumberFormat="1" applyFont="1"/>
    <xf numFmtId="43" fontId="9" fillId="0" borderId="0" xfId="1" applyFont="1"/>
    <xf numFmtId="166" fontId="16" fillId="0" borderId="0" xfId="6" applyNumberFormat="1" applyFont="1"/>
    <xf numFmtId="165" fontId="9" fillId="0" borderId="0" xfId="0" applyNumberFormat="1" applyFont="1"/>
    <xf numFmtId="174" fontId="9" fillId="7" borderId="0" xfId="0" applyNumberFormat="1" applyFont="1" applyFill="1"/>
    <xf numFmtId="166" fontId="9" fillId="0" borderId="0" xfId="6" applyNumberFormat="1" applyFont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43" fontId="16" fillId="0" borderId="2" xfId="1" applyFont="1" applyBorder="1"/>
    <xf numFmtId="166" fontId="16" fillId="0" borderId="2" xfId="6" applyNumberFormat="1" applyFont="1" applyBorder="1"/>
    <xf numFmtId="165" fontId="17" fillId="0" borderId="2" xfId="0" applyNumberFormat="1" applyFont="1" applyBorder="1"/>
    <xf numFmtId="174" fontId="17" fillId="7" borderId="2" xfId="0" applyNumberFormat="1" applyFont="1" applyFill="1" applyBorder="1"/>
    <xf numFmtId="166" fontId="17" fillId="0" borderId="2" xfId="6" applyNumberFormat="1" applyFont="1" applyBorder="1"/>
    <xf numFmtId="174" fontId="9" fillId="0" borderId="0" xfId="0" applyNumberFormat="1" applyFont="1"/>
    <xf numFmtId="0" fontId="9" fillId="7" borderId="0" xfId="0" applyFont="1" applyFill="1"/>
    <xf numFmtId="166" fontId="9" fillId="0" borderId="2" xfId="6" applyNumberFormat="1" applyFont="1" applyBorder="1"/>
    <xf numFmtId="0" fontId="16" fillId="0" borderId="2" xfId="0" applyFont="1" applyBorder="1"/>
    <xf numFmtId="0" fontId="16" fillId="0" borderId="0" xfId="0" applyFont="1"/>
    <xf numFmtId="174" fontId="17" fillId="7" borderId="0" xfId="0" applyNumberFormat="1" applyFont="1" applyFill="1"/>
    <xf numFmtId="166" fontId="17" fillId="0" borderId="0" xfId="6" applyNumberFormat="1" applyFont="1"/>
    <xf numFmtId="166" fontId="9" fillId="0" borderId="2" xfId="0" applyNumberFormat="1" applyFont="1" applyBorder="1" applyAlignment="1">
      <alignment horizontal="left"/>
    </xf>
    <xf numFmtId="166" fontId="9" fillId="0" borderId="2" xfId="0" applyNumberFormat="1" applyFont="1" applyBorder="1"/>
    <xf numFmtId="174" fontId="17" fillId="9" borderId="2" xfId="0" applyNumberFormat="1" applyFont="1" applyFill="1" applyBorder="1"/>
    <xf numFmtId="0" fontId="17" fillId="0" borderId="0" xfId="0" applyFont="1"/>
    <xf numFmtId="166" fontId="9" fillId="0" borderId="0" xfId="0" applyNumberFormat="1" applyFont="1" applyAlignment="1">
      <alignment horizontal="left"/>
    </xf>
    <xf numFmtId="166" fontId="9" fillId="0" borderId="0" xfId="0" applyNumberFormat="1" applyFont="1"/>
    <xf numFmtId="174" fontId="17" fillId="0" borderId="0" xfId="0" applyNumberFormat="1" applyFont="1"/>
    <xf numFmtId="0" fontId="17" fillId="9" borderId="2" xfId="0" applyFont="1" applyFill="1" applyBorder="1"/>
    <xf numFmtId="173" fontId="17" fillId="9" borderId="2" xfId="0" applyNumberFormat="1" applyFont="1" applyFill="1" applyBorder="1"/>
    <xf numFmtId="165" fontId="16" fillId="0" borderId="0" xfId="0" applyNumberFormat="1" applyFont="1"/>
    <xf numFmtId="174" fontId="17" fillId="9" borderId="0" xfId="0" applyNumberFormat="1" applyFont="1" applyFill="1"/>
    <xf numFmtId="0" fontId="14" fillId="10" borderId="0" xfId="0" applyFont="1" applyFill="1" applyAlignment="1">
      <alignment horizontal="center"/>
    </xf>
    <xf numFmtId="0" fontId="41" fillId="10" borderId="8" xfId="0" applyFont="1" applyFill="1" applyBorder="1" applyAlignment="1">
      <alignment horizontal="left" vertical="top" wrapText="1"/>
    </xf>
    <xf numFmtId="0" fontId="41" fillId="10" borderId="3" xfId="0" applyFont="1" applyFill="1" applyBorder="1" applyAlignment="1">
      <alignment horizontal="center" vertical="top" wrapText="1"/>
    </xf>
    <xf numFmtId="0" fontId="41" fillId="10" borderId="3" xfId="0" applyFont="1" applyFill="1" applyBorder="1" applyAlignment="1">
      <alignment horizontal="left" vertical="top" wrapText="1"/>
    </xf>
    <xf numFmtId="0" fontId="41" fillId="10" borderId="3" xfId="0" applyFont="1" applyFill="1" applyBorder="1" applyAlignment="1">
      <alignment horizontal="center" vertical="top" wrapText="1"/>
    </xf>
    <xf numFmtId="0" fontId="41" fillId="10" borderId="10" xfId="0" applyFont="1" applyFill="1" applyBorder="1" applyAlignment="1">
      <alignment horizontal="center" vertical="top" wrapText="1"/>
    </xf>
    <xf numFmtId="0" fontId="41" fillId="10" borderId="7" xfId="0" applyFont="1" applyFill="1" applyBorder="1" applyAlignment="1">
      <alignment horizontal="left" vertical="top" wrapText="1"/>
    </xf>
    <xf numFmtId="0" fontId="41" fillId="10" borderId="0" xfId="0" applyFont="1" applyFill="1" applyAlignment="1">
      <alignment horizontal="center" vertical="top" wrapText="1"/>
    </xf>
    <xf numFmtId="0" fontId="41" fillId="10" borderId="2" xfId="0" applyFont="1" applyFill="1" applyBorder="1" applyAlignment="1">
      <alignment horizontal="left" vertical="top" wrapText="1"/>
    </xf>
    <xf numFmtId="0" fontId="41" fillId="10" borderId="0" xfId="0" applyFont="1" applyFill="1" applyAlignment="1">
      <alignment horizontal="center" vertical="top" wrapText="1"/>
    </xf>
    <xf numFmtId="0" fontId="41" fillId="10" borderId="1" xfId="0" applyFont="1" applyFill="1" applyBorder="1" applyAlignment="1">
      <alignment horizontal="center" vertical="top" wrapText="1"/>
    </xf>
    <xf numFmtId="0" fontId="42" fillId="11" borderId="8" xfId="0" applyFont="1" applyFill="1" applyBorder="1" applyAlignment="1">
      <alignment horizontal="left" vertical="center" wrapText="1"/>
    </xf>
    <xf numFmtId="0" fontId="43" fillId="11" borderId="3" xfId="0" applyFont="1" applyFill="1" applyBorder="1" applyAlignment="1">
      <alignment horizontal="center" vertical="center" wrapText="1"/>
    </xf>
    <xf numFmtId="0" fontId="43" fillId="0" borderId="3" xfId="0" applyFont="1" applyBorder="1" applyAlignment="1">
      <alignment horizontal="left" vertical="center" wrapText="1"/>
    </xf>
    <xf numFmtId="0" fontId="43" fillId="0" borderId="3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11" borderId="9" xfId="0" applyFont="1" applyFill="1" applyBorder="1" applyAlignment="1">
      <alignment horizontal="left" vertical="center" wrapText="1"/>
    </xf>
    <xf numFmtId="0" fontId="43" fillId="11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2" fillId="11" borderId="7" xfId="0" applyFont="1" applyFill="1" applyBorder="1" applyAlignment="1">
      <alignment horizontal="left" vertical="center" wrapText="1"/>
    </xf>
    <xf numFmtId="0" fontId="43" fillId="11" borderId="2" xfId="0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left" vertical="center" wrapText="1"/>
    </xf>
    <xf numFmtId="0" fontId="43" fillId="0" borderId="2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2" fillId="6" borderId="8" xfId="0" applyFont="1" applyFill="1" applyBorder="1" applyAlignment="1">
      <alignment horizontal="left" vertical="center" wrapText="1"/>
    </xf>
    <xf numFmtId="0" fontId="43" fillId="6" borderId="3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6" borderId="9" xfId="0" applyFont="1" applyFill="1" applyBorder="1" applyAlignment="1">
      <alignment horizontal="left" vertical="center" wrapText="1"/>
    </xf>
    <xf numFmtId="0" fontId="43" fillId="6" borderId="0" xfId="0" applyFont="1" applyFill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2" fontId="44" fillId="0" borderId="0" xfId="1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2" fillId="6" borderId="7" xfId="0" applyFont="1" applyFill="1" applyBorder="1" applyAlignment="1">
      <alignment horizontal="left" vertical="center" wrapText="1"/>
    </xf>
    <xf numFmtId="0" fontId="43" fillId="6" borderId="2" xfId="0" applyFont="1" applyFill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2" fillId="5" borderId="7" xfId="0" applyFont="1" applyFill="1" applyBorder="1" applyAlignment="1">
      <alignment horizontal="left" vertical="center" wrapText="1"/>
    </xf>
    <xf numFmtId="0" fontId="43" fillId="5" borderId="2" xfId="0" applyFont="1" applyFill="1" applyBorder="1" applyAlignment="1">
      <alignment horizontal="center" vertical="center" wrapText="1"/>
    </xf>
    <xf numFmtId="0" fontId="42" fillId="12" borderId="8" xfId="0" applyFont="1" applyFill="1" applyBorder="1" applyAlignment="1">
      <alignment horizontal="left" vertical="center" wrapText="1"/>
    </xf>
    <xf numFmtId="0" fontId="43" fillId="12" borderId="3" xfId="0" applyFont="1" applyFill="1" applyBorder="1" applyAlignment="1">
      <alignment horizontal="center" vertical="center" wrapText="1"/>
    </xf>
    <xf numFmtId="165" fontId="43" fillId="3" borderId="3" xfId="0" applyNumberFormat="1" applyFont="1" applyFill="1" applyBorder="1" applyAlignment="1">
      <alignment horizontal="center" vertical="center" wrapText="1"/>
    </xf>
    <xf numFmtId="0" fontId="42" fillId="12" borderId="9" xfId="0" applyFont="1" applyFill="1" applyBorder="1" applyAlignment="1">
      <alignment horizontal="left" vertical="center" wrapText="1"/>
    </xf>
    <xf numFmtId="0" fontId="43" fillId="12" borderId="0" xfId="0" applyFont="1" applyFill="1" applyAlignment="1">
      <alignment horizontal="center" vertical="center" wrapText="1"/>
    </xf>
    <xf numFmtId="0" fontId="42" fillId="13" borderId="8" xfId="0" applyFont="1" applyFill="1" applyBorder="1" applyAlignment="1">
      <alignment horizontal="left" vertical="center" wrapText="1"/>
    </xf>
    <xf numFmtId="0" fontId="43" fillId="13" borderId="3" xfId="0" applyFont="1" applyFill="1" applyBorder="1" applyAlignment="1">
      <alignment horizontal="left" vertical="center" wrapText="1"/>
    </xf>
    <xf numFmtId="0" fontId="44" fillId="0" borderId="3" xfId="0" applyFont="1" applyBorder="1" applyAlignment="1">
      <alignment horizontal="center" vertical="center" wrapText="1"/>
    </xf>
    <xf numFmtId="0" fontId="42" fillId="13" borderId="7" xfId="0" applyFont="1" applyFill="1" applyBorder="1" applyAlignment="1">
      <alignment horizontal="left" vertical="center" wrapText="1"/>
    </xf>
    <xf numFmtId="0" fontId="43" fillId="13" borderId="2" xfId="0" applyFont="1" applyFill="1" applyBorder="1" applyAlignment="1">
      <alignment horizontal="left" vertical="center" wrapText="1"/>
    </xf>
    <xf numFmtId="0" fontId="42" fillId="13" borderId="7" xfId="0" applyFont="1" applyFill="1" applyBorder="1" applyAlignment="1">
      <alignment horizontal="left" vertical="center" wrapText="1"/>
    </xf>
    <xf numFmtId="0" fontId="43" fillId="0" borderId="4" xfId="0" applyFont="1" applyBorder="1"/>
    <xf numFmtId="0" fontId="43" fillId="0" borderId="5" xfId="0" applyFont="1" applyBorder="1"/>
    <xf numFmtId="0" fontId="46" fillId="0" borderId="5" xfId="0" applyFont="1" applyBorder="1" applyAlignment="1">
      <alignment horizontal="right"/>
    </xf>
    <xf numFmtId="0" fontId="46" fillId="0" borderId="5" xfId="0" applyFont="1" applyBorder="1" applyAlignment="1">
      <alignment horizontal="center" vertical="top"/>
    </xf>
    <xf numFmtId="0" fontId="46" fillId="0" borderId="6" xfId="0" applyFont="1" applyBorder="1" applyAlignment="1">
      <alignment horizontal="center" vertical="top"/>
    </xf>
    <xf numFmtId="0" fontId="47" fillId="0" borderId="8" xfId="0" applyFont="1" applyBorder="1"/>
    <xf numFmtId="0" fontId="47" fillId="0" borderId="3" xfId="0" applyFont="1" applyBorder="1"/>
    <xf numFmtId="0" fontId="43" fillId="0" borderId="3" xfId="0" applyFont="1" applyBorder="1" applyAlignment="1">
      <alignment horizontal="right"/>
    </xf>
    <xf numFmtId="2" fontId="44" fillId="0" borderId="3" xfId="0" applyNumberFormat="1" applyFont="1" applyBorder="1" applyAlignment="1">
      <alignment horizontal="center" vertical="top"/>
    </xf>
    <xf numFmtId="2" fontId="44" fillId="0" borderId="3" xfId="0" applyNumberFormat="1" applyFont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0" fontId="47" fillId="0" borderId="9" xfId="0" applyFont="1" applyBorder="1"/>
    <xf numFmtId="0" fontId="47" fillId="0" borderId="0" xfId="0" applyFont="1"/>
    <xf numFmtId="0" fontId="43" fillId="0" borderId="0" xfId="0" applyFont="1" applyAlignment="1">
      <alignment horizontal="right"/>
    </xf>
    <xf numFmtId="178" fontId="43" fillId="0" borderId="0" xfId="1" applyNumberFormat="1" applyFont="1" applyAlignment="1">
      <alignment horizontal="center" vertical="top"/>
    </xf>
    <xf numFmtId="178" fontId="43" fillId="0" borderId="1" xfId="1" applyNumberFormat="1" applyFont="1" applyBorder="1" applyAlignment="1">
      <alignment horizontal="center" vertical="top"/>
    </xf>
    <xf numFmtId="0" fontId="43" fillId="0" borderId="9" xfId="0" applyFont="1" applyBorder="1"/>
    <xf numFmtId="0" fontId="43" fillId="0" borderId="0" xfId="0" applyFont="1"/>
    <xf numFmtId="0" fontId="46" fillId="0" borderId="0" xfId="0" applyFont="1" applyAlignment="1">
      <alignment horizontal="right"/>
    </xf>
    <xf numFmtId="0" fontId="46" fillId="0" borderId="0" xfId="0" applyFont="1" applyAlignment="1">
      <alignment vertical="top"/>
    </xf>
    <xf numFmtId="0" fontId="46" fillId="0" borderId="0" xfId="0" applyFont="1"/>
    <xf numFmtId="178" fontId="46" fillId="0" borderId="1" xfId="0" applyNumberFormat="1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7" fillId="0" borderId="7" xfId="0" applyFont="1" applyBorder="1"/>
    <xf numFmtId="0" fontId="47" fillId="0" borderId="2" xfId="0" applyFont="1" applyBorder="1"/>
    <xf numFmtId="0" fontId="43" fillId="0" borderId="2" xfId="0" applyFont="1" applyBorder="1" applyAlignment="1">
      <alignment horizontal="right"/>
    </xf>
    <xf numFmtId="0" fontId="46" fillId="0" borderId="2" xfId="0" applyFont="1" applyBorder="1" applyAlignment="1">
      <alignment horizontal="right"/>
    </xf>
    <xf numFmtId="0" fontId="46" fillId="0" borderId="2" xfId="0" applyFont="1" applyBorder="1" applyAlignment="1">
      <alignment horizontal="right" vertical="top"/>
    </xf>
    <xf numFmtId="0" fontId="46" fillId="9" borderId="2" xfId="0" applyFont="1" applyFill="1" applyBorder="1" applyAlignment="1">
      <alignment horizontal="right" vertical="top"/>
    </xf>
    <xf numFmtId="178" fontId="46" fillId="9" borderId="12" xfId="0" applyNumberFormat="1" applyFont="1" applyFill="1" applyBorder="1" applyAlignment="1">
      <alignment horizontal="center"/>
    </xf>
    <xf numFmtId="3" fontId="9" fillId="8" borderId="0" xfId="0" applyNumberFormat="1" applyFont="1" applyFill="1"/>
    <xf numFmtId="0" fontId="40" fillId="10" borderId="0" xfId="0" applyFont="1" applyFill="1"/>
    <xf numFmtId="0" fontId="19" fillId="0" borderId="2" xfId="0" applyFont="1" applyBorder="1"/>
    <xf numFmtId="0" fontId="18" fillId="0" borderId="2" xfId="0" applyFont="1" applyBorder="1"/>
    <xf numFmtId="43" fontId="19" fillId="0" borderId="2" xfId="1" applyFont="1" applyBorder="1"/>
    <xf numFmtId="43" fontId="9" fillId="0" borderId="0" xfId="0" applyNumberFormat="1" applyFont="1"/>
    <xf numFmtId="174" fontId="9" fillId="0" borderId="0" xfId="1" applyNumberFormat="1" applyFont="1"/>
    <xf numFmtId="43" fontId="9" fillId="0" borderId="2" xfId="1" applyFont="1" applyBorder="1"/>
    <xf numFmtId="174" fontId="17" fillId="0" borderId="0" xfId="1" applyNumberFormat="1" applyFont="1"/>
    <xf numFmtId="179" fontId="17" fillId="9" borderId="2" xfId="1" applyNumberFormat="1" applyFont="1" applyFill="1" applyBorder="1"/>
    <xf numFmtId="0" fontId="40" fillId="10" borderId="0" xfId="0" applyFont="1" applyFill="1" applyAlignment="1">
      <alignment horizontal="center"/>
    </xf>
    <xf numFmtId="0" fontId="17" fillId="0" borderId="4" xfId="0" applyFont="1" applyBorder="1"/>
    <xf numFmtId="0" fontId="17" fillId="0" borderId="5" xfId="0" applyFont="1" applyBorder="1" applyAlignment="1">
      <alignment horizontal="left" wrapText="1"/>
    </xf>
    <xf numFmtId="174" fontId="16" fillId="0" borderId="0" xfId="1" applyNumberFormat="1" applyFont="1"/>
    <xf numFmtId="9" fontId="9" fillId="0" borderId="0" xfId="1" applyNumberFormat="1" applyFont="1"/>
    <xf numFmtId="173" fontId="16" fillId="0" borderId="0" xfId="1" applyNumberFormat="1" applyFont="1"/>
    <xf numFmtId="174" fontId="9" fillId="0" borderId="0" xfId="0" applyNumberFormat="1" applyFont="1" applyAlignment="1">
      <alignment horizontal="center"/>
    </xf>
    <xf numFmtId="0" fontId="17" fillId="9" borderId="0" xfId="0" applyFont="1" applyFill="1"/>
    <xf numFmtId="0" fontId="15" fillId="10" borderId="2" xfId="11" applyFont="1" applyFill="1" applyBorder="1"/>
    <xf numFmtId="0" fontId="9" fillId="8" borderId="0" xfId="11" applyFont="1" applyFill="1"/>
    <xf numFmtId="0" fontId="17" fillId="0" borderId="7" xfId="11" applyFont="1" applyBorder="1" applyAlignment="1">
      <alignment vertical="top"/>
    </xf>
    <xf numFmtId="0" fontId="17" fillId="0" borderId="2" xfId="11" applyFont="1" applyBorder="1" applyAlignment="1">
      <alignment horizontal="left" vertical="top" wrapText="1"/>
    </xf>
    <xf numFmtId="0" fontId="17" fillId="0" borderId="2" xfId="11" applyFont="1" applyBorder="1" applyAlignment="1">
      <alignment horizontal="center" vertical="top" wrapText="1"/>
    </xf>
    <xf numFmtId="0" fontId="9" fillId="0" borderId="0" xfId="11" applyFont="1"/>
    <xf numFmtId="43" fontId="16" fillId="0" borderId="0" xfId="12" applyFont="1"/>
    <xf numFmtId="174" fontId="16" fillId="0" borderId="0" xfId="12" applyNumberFormat="1" applyFont="1"/>
    <xf numFmtId="174" fontId="9" fillId="0" borderId="0" xfId="12" applyNumberFormat="1" applyFont="1"/>
    <xf numFmtId="9" fontId="9" fillId="0" borderId="0" xfId="12" applyNumberFormat="1" applyFont="1"/>
    <xf numFmtId="9" fontId="16" fillId="0" borderId="0" xfId="13" applyFont="1"/>
    <xf numFmtId="173" fontId="16" fillId="0" borderId="0" xfId="12" applyNumberFormat="1" applyFont="1"/>
    <xf numFmtId="0" fontId="17" fillId="0" borderId="0" xfId="11" applyFont="1"/>
    <xf numFmtId="0" fontId="9" fillId="0" borderId="0" xfId="11" applyFont="1" applyAlignment="1">
      <alignment horizontal="center"/>
    </xf>
    <xf numFmtId="174" fontId="9" fillId="0" borderId="0" xfId="11" applyNumberFormat="1" applyFont="1" applyAlignment="1">
      <alignment horizontal="center"/>
    </xf>
    <xf numFmtId="174" fontId="17" fillId="0" borderId="0" xfId="11" applyNumberFormat="1" applyFont="1"/>
    <xf numFmtId="0" fontId="17" fillId="9" borderId="0" xfId="11" applyFont="1" applyFill="1"/>
    <xf numFmtId="174" fontId="17" fillId="9" borderId="0" xfId="11" applyNumberFormat="1" applyFont="1" applyFill="1"/>
    <xf numFmtId="0" fontId="40" fillId="10" borderId="2" xfId="11" applyFont="1" applyFill="1" applyBorder="1"/>
    <xf numFmtId="0" fontId="40" fillId="10" borderId="2" xfId="11" applyFont="1" applyFill="1" applyBorder="1" applyAlignment="1">
      <alignment horizontal="center"/>
    </xf>
    <xf numFmtId="0" fontId="32" fillId="22" borderId="0" xfId="0" applyFont="1" applyFill="1"/>
    <xf numFmtId="0" fontId="16" fillId="0" borderId="0" xfId="11" applyFont="1"/>
    <xf numFmtId="9" fontId="16" fillId="0" borderId="0" xfId="12" applyNumberFormat="1" applyFont="1"/>
    <xf numFmtId="0" fontId="40" fillId="10" borderId="4" xfId="11" applyFont="1" applyFill="1" applyBorder="1"/>
    <xf numFmtId="0" fontId="40" fillId="10" borderId="5" xfId="11" applyFont="1" applyFill="1" applyBorder="1"/>
    <xf numFmtId="0" fontId="40" fillId="10" borderId="6" xfId="11" applyFont="1" applyFill="1" applyBorder="1" applyAlignment="1">
      <alignment horizontal="center"/>
    </xf>
    <xf numFmtId="0" fontId="17" fillId="2" borderId="3" xfId="0" applyFont="1" applyFill="1" applyBorder="1"/>
    <xf numFmtId="0" fontId="16" fillId="2" borderId="0" xfId="0" applyFont="1" applyFill="1"/>
    <xf numFmtId="164" fontId="9" fillId="2" borderId="2" xfId="0" applyNumberFormat="1" applyFont="1" applyFill="1" applyBorder="1"/>
    <xf numFmtId="164" fontId="9" fillId="2" borderId="0" xfId="0" applyNumberFormat="1" applyFont="1" applyFill="1"/>
    <xf numFmtId="0" fontId="16" fillId="3" borderId="0" xfId="0" applyFont="1" applyFill="1"/>
    <xf numFmtId="9" fontId="9" fillId="2" borderId="0" xfId="6" quotePrefix="1" applyFont="1" applyFill="1" applyAlignment="1">
      <alignment horizontal="center"/>
    </xf>
    <xf numFmtId="0" fontId="9" fillId="2" borderId="0" xfId="0" quotePrefix="1" applyFont="1" applyFill="1" applyAlignment="1">
      <alignment horizontal="center"/>
    </xf>
    <xf numFmtId="0" fontId="48" fillId="0" borderId="0" xfId="0" applyFont="1"/>
    <xf numFmtId="0" fontId="49" fillId="5" borderId="0" xfId="0" applyFont="1" applyFill="1" applyAlignment="1">
      <alignment horizontal="left"/>
    </xf>
    <xf numFmtId="0" fontId="51" fillId="5" borderId="0" xfId="0" applyFont="1" applyFill="1" applyProtection="1">
      <protection locked="0"/>
    </xf>
    <xf numFmtId="2" fontId="52" fillId="5" borderId="0" xfId="0" applyNumberFormat="1" applyFont="1" applyFill="1" applyProtection="1">
      <protection locked="0"/>
    </xf>
    <xf numFmtId="2" fontId="51" fillId="5" borderId="0" xfId="0" applyNumberFormat="1" applyFont="1" applyFill="1" applyProtection="1">
      <protection locked="0"/>
    </xf>
    <xf numFmtId="9" fontId="51" fillId="5" borderId="0" xfId="6" applyFont="1" applyFill="1" applyProtection="1">
      <protection locked="0"/>
    </xf>
    <xf numFmtId="1" fontId="52" fillId="5" borderId="0" xfId="0" applyNumberFormat="1" applyFont="1" applyFill="1" applyProtection="1">
      <protection locked="0"/>
    </xf>
    <xf numFmtId="172" fontId="49" fillId="5" borderId="0" xfId="0" applyNumberFormat="1" applyFont="1" applyFill="1"/>
    <xf numFmtId="172" fontId="52" fillId="5" borderId="0" xfId="0" applyNumberFormat="1" applyFont="1" applyFill="1" applyProtection="1">
      <protection locked="0"/>
    </xf>
    <xf numFmtId="1" fontId="51" fillId="5" borderId="0" xfId="0" applyNumberFormat="1" applyFont="1" applyFill="1"/>
    <xf numFmtId="172" fontId="51" fillId="5" borderId="0" xfId="0" applyNumberFormat="1" applyFont="1" applyFill="1"/>
    <xf numFmtId="175" fontId="51" fillId="5" borderId="0" xfId="0" applyNumberFormat="1" applyFont="1" applyFill="1"/>
    <xf numFmtId="1" fontId="49" fillId="5" borderId="0" xfId="0" applyNumberFormat="1" applyFont="1" applyFill="1"/>
    <xf numFmtId="2" fontId="49" fillId="5" borderId="0" xfId="0" applyNumberFormat="1" applyFont="1" applyFill="1"/>
    <xf numFmtId="2" fontId="49" fillId="6" borderId="0" xfId="0" applyNumberFormat="1" applyFont="1" applyFill="1"/>
    <xf numFmtId="9" fontId="52" fillId="5" borderId="0" xfId="6" applyFont="1" applyFill="1" applyProtection="1">
      <protection locked="0"/>
    </xf>
    <xf numFmtId="9" fontId="51" fillId="5" borderId="0" xfId="6" applyFont="1" applyFill="1"/>
    <xf numFmtId="0" fontId="51" fillId="0" borderId="0" xfId="0" applyFont="1"/>
    <xf numFmtId="172" fontId="49" fillId="6" borderId="0" xfId="0" applyNumberFormat="1" applyFont="1" applyFill="1"/>
    <xf numFmtId="0" fontId="49" fillId="5" borderId="0" xfId="0" applyFont="1" applyFill="1" applyAlignment="1">
      <alignment horizontal="center"/>
    </xf>
    <xf numFmtId="1" fontId="51" fillId="5" borderId="0" xfId="0" applyNumberFormat="1" applyFont="1" applyFill="1" applyProtection="1">
      <protection locked="0"/>
    </xf>
    <xf numFmtId="2" fontId="51" fillId="5" borderId="0" xfId="0" applyNumberFormat="1" applyFont="1" applyFill="1"/>
    <xf numFmtId="2" fontId="51" fillId="6" borderId="0" xfId="0" applyNumberFormat="1" applyFont="1" applyFill="1"/>
    <xf numFmtId="165" fontId="52" fillId="5" borderId="0" xfId="0" applyNumberFormat="1" applyFont="1" applyFill="1" applyProtection="1">
      <protection locked="0"/>
    </xf>
    <xf numFmtId="0" fontId="53" fillId="0" borderId="0" xfId="0" applyFont="1" applyAlignment="1">
      <alignment horizontal="justify" textRotation="90"/>
    </xf>
    <xf numFmtId="0" fontId="17" fillId="0" borderId="4" xfId="11" applyFont="1" applyBorder="1" applyAlignment="1">
      <alignment vertical="top"/>
    </xf>
    <xf numFmtId="0" fontId="17" fillId="0" borderId="5" xfId="11" applyFont="1" applyBorder="1" applyAlignment="1">
      <alignment horizontal="left" vertical="top" wrapText="1"/>
    </xf>
    <xf numFmtId="0" fontId="17" fillId="0" borderId="5" xfId="11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49" fillId="4" borderId="4" xfId="0" applyFont="1" applyFill="1" applyBorder="1" applyAlignment="1">
      <alignment horizontal="center" vertical="top" wrapText="1"/>
    </xf>
    <xf numFmtId="0" fontId="49" fillId="4" borderId="5" xfId="0" applyFont="1" applyFill="1" applyBorder="1" applyAlignment="1">
      <alignment horizontal="center" vertical="top" wrapText="1"/>
    </xf>
    <xf numFmtId="0" fontId="50" fillId="4" borderId="5" xfId="0" applyFont="1" applyFill="1" applyBorder="1" applyAlignment="1">
      <alignment horizontal="center" vertical="top" wrapText="1"/>
    </xf>
    <xf numFmtId="0" fontId="48" fillId="4" borderId="5" xfId="0" applyFont="1" applyFill="1" applyBorder="1" applyAlignment="1">
      <alignment horizontal="center" vertical="top" wrapText="1"/>
    </xf>
    <xf numFmtId="0" fontId="49" fillId="4" borderId="5" xfId="0" applyFont="1" applyFill="1" applyBorder="1" applyAlignment="1">
      <alignment horizontal="center" vertical="top"/>
    </xf>
  </cellXfs>
  <cellStyles count="20">
    <cellStyle name="Comma" xfId="1" builtinId="3"/>
    <cellStyle name="Comma [0] 2" xfId="19" xr:uid="{6FF72301-9343-44C8-AAC5-6E7F84681D55}"/>
    <cellStyle name="Comma 2" xfId="12" xr:uid="{00000000-0005-0000-0000-000001000000}"/>
    <cellStyle name="Comma 3" xfId="16" xr:uid="{AB2E6961-0482-4B92-93BE-922FD84BFC37}"/>
    <cellStyle name="Dezimal [0]_Farm-Kaz-2.xls Diagramm 1" xfId="2" xr:uid="{00000000-0005-0000-0000-000002000000}"/>
    <cellStyle name="Dezimal_Farm-Kaz-2.xls Diagramm 1" xfId="3" xr:uid="{00000000-0005-0000-0000-000003000000}"/>
    <cellStyle name="Euro" xfId="4" xr:uid="{00000000-0005-0000-0000-000004000000}"/>
    <cellStyle name="kg" xfId="5" xr:uid="{00000000-0005-0000-0000-000005000000}"/>
    <cellStyle name="Normal" xfId="0" builtinId="0"/>
    <cellStyle name="Normal 2" xfId="11" xr:uid="{00000000-0005-0000-0000-000007000000}"/>
    <cellStyle name="Normal 3" xfId="14" xr:uid="{ADDA708C-A61A-4216-B7A6-3E6D9313EFFE}"/>
    <cellStyle name="Percent" xfId="6" builtinId="5"/>
    <cellStyle name="Percent 2" xfId="13" xr:uid="{00000000-0005-0000-0000-000009000000}"/>
    <cellStyle name="Percent 2 2" xfId="17" xr:uid="{F8C20C14-8225-4337-BCBA-5EFDEF6C2030}"/>
    <cellStyle name="Percent 3" xfId="18" xr:uid="{B335E2E3-CD34-49D3-BEFD-9007AE3CC1EA}"/>
    <cellStyle name="Percent 4" xfId="15" xr:uid="{0E91001A-DAD7-4F99-9688-C77B77144FAF}"/>
    <cellStyle name="Standard_Farm-Kaz-2.xls Diagramm 1" xfId="7" xr:uid="{00000000-0005-0000-0000-00000A000000}"/>
    <cellStyle name="Währung [0]_Farm-Kaz-2.xls Diagramm 1" xfId="8" xr:uid="{00000000-0005-0000-0000-00000B000000}"/>
    <cellStyle name="Währung_Farm-Kaz-2.xls Diagramm 1" xfId="9" xr:uid="{00000000-0005-0000-0000-00000C000000}"/>
    <cellStyle name="Обычный_Pre-Cigar Box RichStem v2" xfId="10" xr:uid="{00000000-0005-0000-0000-00000D000000}"/>
  </cellStyles>
  <dxfs count="19"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lor theme="0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lor theme="0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lor theme="0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lor theme="0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9900"/>
      <color rgb="FF9933FF"/>
      <color rgb="FF008000"/>
      <color rgb="FF00CC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%20Vaio\Website\CB2%20Sample%20Farm%20Englis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B1%20Brea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ivier's%20Documents\BI\BI%20Somaliland%20Hassan%20Brothe\CB4%20Hassan%20Brothers%20Bak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PPING PLAN"/>
      <sheetName val="FIXED COST"/>
      <sheetName val="ANALYSIS"/>
      <sheetName val="Air Transport"/>
      <sheetName val="ANTHU"/>
      <sheetName val="HELIC"/>
      <sheetName val="CHERRY"/>
    </sheetNames>
    <sheetDataSet>
      <sheetData sheetId="0"/>
      <sheetData sheetId="1">
        <row r="1">
          <cell r="T1">
            <v>1230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1 Bread)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Building"/>
      <sheetName val="CB4 S0-HBB-400k"/>
      <sheetName val="CB4 S0-HBB-100k"/>
      <sheetName val="Timeline"/>
      <sheetName val="Bakery equipment"/>
    </sheetNames>
    <sheetDataSet>
      <sheetData sheetId="0"/>
      <sheetData sheetId="1">
        <row r="3">
          <cell r="R3">
            <v>2014</v>
          </cell>
        </row>
        <row r="54">
          <cell r="Q54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</sheetPr>
  <dimension ref="B2:M25"/>
  <sheetViews>
    <sheetView tabSelected="1" workbookViewId="0">
      <selection activeCell="S23" sqref="S23"/>
    </sheetView>
  </sheetViews>
  <sheetFormatPr defaultColWidth="9.109375" defaultRowHeight="13.8" outlineLevelCol="1"/>
  <cols>
    <col min="1" max="1" width="2.33203125" style="246" customWidth="1"/>
    <col min="2" max="2" width="4.109375" style="246" customWidth="1"/>
    <col min="3" max="3" width="26.6640625" style="246" customWidth="1"/>
    <col min="4" max="4" width="5.33203125" style="246" customWidth="1"/>
    <col min="5" max="5" width="12.109375" style="246" customWidth="1"/>
    <col min="6" max="7" width="9.33203125" style="246" customWidth="1"/>
    <col min="8" max="9" width="9.109375" style="246"/>
    <col min="10" max="10" width="10.33203125" style="246" bestFit="1" customWidth="1"/>
    <col min="11" max="11" width="9.109375" style="246" hidden="1" customWidth="1" outlineLevel="1"/>
    <col min="12" max="12" width="8.88671875" style="246" hidden="1" customWidth="1" outlineLevel="1"/>
    <col min="13" max="13" width="2" style="246" customWidth="1" collapsed="1"/>
    <col min="14" max="16384" width="9.109375" style="246"/>
  </cols>
  <sheetData>
    <row r="2" spans="2:12" ht="15.6">
      <c r="B2" s="21" t="s">
        <v>229</v>
      </c>
      <c r="C2" s="245"/>
      <c r="D2" s="245"/>
      <c r="E2" s="245"/>
      <c r="F2" s="245"/>
      <c r="G2" s="245"/>
      <c r="H2" s="245"/>
      <c r="I2" s="245"/>
      <c r="J2" s="286" t="s">
        <v>228</v>
      </c>
      <c r="K2" s="245"/>
      <c r="L2" s="245"/>
    </row>
    <row r="3" spans="2:12" ht="41.4">
      <c r="B3" s="247" t="s">
        <v>69</v>
      </c>
      <c r="C3" s="248" t="s">
        <v>53</v>
      </c>
      <c r="D3" s="249" t="s">
        <v>20</v>
      </c>
      <c r="E3" s="249" t="s">
        <v>96</v>
      </c>
      <c r="F3" s="249" t="s">
        <v>72</v>
      </c>
      <c r="G3" s="249" t="s">
        <v>73</v>
      </c>
      <c r="H3" s="249" t="s">
        <v>79</v>
      </c>
      <c r="I3" s="249" t="s">
        <v>80</v>
      </c>
      <c r="J3" s="250" t="s">
        <v>67</v>
      </c>
      <c r="K3" s="251" t="s">
        <v>68</v>
      </c>
      <c r="L3" s="252" t="s">
        <v>70</v>
      </c>
    </row>
    <row r="4" spans="2:12">
      <c r="B4" s="55">
        <v>1</v>
      </c>
      <c r="C4" s="55" t="s">
        <v>54</v>
      </c>
      <c r="D4" s="253" t="s">
        <v>65</v>
      </c>
      <c r="E4" s="254">
        <v>80</v>
      </c>
      <c r="F4" s="255">
        <v>0.35</v>
      </c>
      <c r="G4" s="256">
        <f>E4/(1-F4)</f>
        <v>123.07692307692307</v>
      </c>
      <c r="H4" s="257">
        <v>6.9279861610541379E-2</v>
      </c>
      <c r="I4" s="258">
        <f>$I$21*H4</f>
        <v>17.319965402635344</v>
      </c>
      <c r="J4" s="259">
        <f>I4*G4</f>
        <v>2131.6880495551191</v>
      </c>
      <c r="K4" s="260">
        <f>J4/$J$21</f>
        <v>0.12178174738632752</v>
      </c>
      <c r="L4" s="253">
        <v>3</v>
      </c>
    </row>
    <row r="5" spans="2:12">
      <c r="B5" s="55">
        <v>2</v>
      </c>
      <c r="C5" s="55" t="s">
        <v>55</v>
      </c>
      <c r="D5" s="253" t="s">
        <v>65</v>
      </c>
      <c r="E5" s="254">
        <v>38</v>
      </c>
      <c r="F5" s="255">
        <v>0.06</v>
      </c>
      <c r="G5" s="256">
        <f>E5/(1-F5)</f>
        <v>40.425531914893618</v>
      </c>
      <c r="H5" s="257">
        <v>4.6584193307677116E-2</v>
      </c>
      <c r="I5" s="258">
        <f t="shared" ref="I5:I18" si="0">$I$21*H5</f>
        <v>11.64604832691928</v>
      </c>
      <c r="J5" s="259">
        <f>I5*G5</f>
        <v>470.79769832226879</v>
      </c>
      <c r="K5" s="260">
        <f>J5/$J$21</f>
        <v>2.6896321147511535E-2</v>
      </c>
      <c r="L5" s="253"/>
    </row>
    <row r="6" spans="2:12">
      <c r="B6" s="55">
        <v>3</v>
      </c>
      <c r="C6" s="55" t="s">
        <v>56</v>
      </c>
      <c r="D6" s="253" t="s">
        <v>65</v>
      </c>
      <c r="E6" s="254">
        <v>140</v>
      </c>
      <c r="F6" s="255">
        <v>0.1</v>
      </c>
      <c r="G6" s="256">
        <f>E6/(1-F6)</f>
        <v>155.55555555555554</v>
      </c>
      <c r="H6" s="257">
        <v>1.199134895116756E-2</v>
      </c>
      <c r="I6" s="258">
        <f t="shared" si="0"/>
        <v>2.9978372377918903</v>
      </c>
      <c r="J6" s="259">
        <f>I6*G6</f>
        <v>466.33023698984954</v>
      </c>
      <c r="K6" s="260">
        <f>J6/$J$21</f>
        <v>2.6641098415669317E-2</v>
      </c>
      <c r="L6" s="253"/>
    </row>
    <row r="7" spans="2:12">
      <c r="B7" s="55">
        <v>4</v>
      </c>
      <c r="C7" s="55" t="s">
        <v>58</v>
      </c>
      <c r="D7" s="253" t="s">
        <v>65</v>
      </c>
      <c r="E7" s="254">
        <v>60</v>
      </c>
      <c r="F7" s="255">
        <v>0.25</v>
      </c>
      <c r="G7" s="256">
        <f>E7/(1-F7)</f>
        <v>80</v>
      </c>
      <c r="H7" s="257">
        <v>0.35117073486050132</v>
      </c>
      <c r="I7" s="258">
        <f t="shared" si="0"/>
        <v>87.792683715125335</v>
      </c>
      <c r="J7" s="259">
        <f>I7*G7</f>
        <v>7023.414697210027</v>
      </c>
      <c r="K7" s="260">
        <f>J7/$J$21</f>
        <v>0.40124244005756687</v>
      </c>
      <c r="L7" s="253">
        <v>1</v>
      </c>
    </row>
    <row r="8" spans="2:12">
      <c r="B8" s="261"/>
      <c r="C8" s="233" t="s">
        <v>74</v>
      </c>
      <c r="D8" s="262"/>
      <c r="E8" s="263"/>
      <c r="F8" s="263"/>
      <c r="G8" s="263"/>
      <c r="H8" s="264"/>
      <c r="I8" s="265">
        <f>SUM(I4:I7)</f>
        <v>119.75653468247185</v>
      </c>
      <c r="J8" s="266">
        <f>SUM(J4:J7)</f>
        <v>10092.230682077265</v>
      </c>
      <c r="K8" s="267">
        <f>J8/$J$21</f>
        <v>0.57656160700707526</v>
      </c>
      <c r="L8" s="262"/>
    </row>
    <row r="9" spans="2:12">
      <c r="B9" s="55"/>
      <c r="C9" s="55"/>
      <c r="D9" s="253"/>
      <c r="E9" s="254"/>
      <c r="F9" s="254"/>
      <c r="G9" s="254"/>
      <c r="H9" s="257"/>
      <c r="I9" s="258"/>
      <c r="J9" s="259"/>
      <c r="K9" s="268"/>
      <c r="L9" s="253"/>
    </row>
    <row r="10" spans="2:12">
      <c r="B10" s="55">
        <v>5</v>
      </c>
      <c r="C10" s="55" t="s">
        <v>57</v>
      </c>
      <c r="D10" s="253" t="s">
        <v>65</v>
      </c>
      <c r="E10" s="254">
        <v>11.5</v>
      </c>
      <c r="F10" s="254"/>
      <c r="G10" s="254"/>
      <c r="H10" s="257">
        <v>4.061990979793409E-2</v>
      </c>
      <c r="I10" s="258">
        <f t="shared" si="0"/>
        <v>10.154977449483523</v>
      </c>
      <c r="J10" s="259">
        <f t="shared" ref="J10:J18" si="1">I10*E10</f>
        <v>116.78224066906051</v>
      </c>
      <c r="K10" s="260">
        <f t="shared" ref="K10:K19" si="2">J10/$J$21</f>
        <v>6.6716822545104266E-3</v>
      </c>
      <c r="L10" s="253"/>
    </row>
    <row r="11" spans="2:12">
      <c r="B11" s="55">
        <v>6</v>
      </c>
      <c r="C11" s="55" t="s">
        <v>66</v>
      </c>
      <c r="D11" s="253" t="s">
        <v>65</v>
      </c>
      <c r="E11" s="254">
        <v>83.25</v>
      </c>
      <c r="F11" s="254"/>
      <c r="G11" s="254"/>
      <c r="H11" s="257">
        <v>6.9279861610541379E-2</v>
      </c>
      <c r="I11" s="258">
        <f t="shared" si="0"/>
        <v>17.319965402635344</v>
      </c>
      <c r="J11" s="259">
        <f t="shared" si="1"/>
        <v>1441.8871197693923</v>
      </c>
      <c r="K11" s="260">
        <f t="shared" si="2"/>
        <v>8.2373935068033102E-2</v>
      </c>
      <c r="L11" s="253">
        <v>5</v>
      </c>
    </row>
    <row r="12" spans="2:12">
      <c r="B12" s="55">
        <v>7</v>
      </c>
      <c r="C12" s="55" t="s">
        <v>59</v>
      </c>
      <c r="D12" s="253" t="s">
        <v>65</v>
      </c>
      <c r="E12" s="254">
        <v>0.5</v>
      </c>
      <c r="F12" s="254"/>
      <c r="G12" s="254"/>
      <c r="H12" s="257">
        <v>0.26267960215541925</v>
      </c>
      <c r="I12" s="258">
        <f t="shared" si="0"/>
        <v>65.669900538854804</v>
      </c>
      <c r="J12" s="259">
        <f t="shared" si="1"/>
        <v>32.834950269427402</v>
      </c>
      <c r="K12" s="260">
        <f t="shared" si="2"/>
        <v>1.8758362040771201E-3</v>
      </c>
      <c r="L12" s="253"/>
    </row>
    <row r="13" spans="2:12">
      <c r="B13" s="55">
        <v>8</v>
      </c>
      <c r="C13" s="55" t="s">
        <v>60</v>
      </c>
      <c r="D13" s="253" t="s">
        <v>65</v>
      </c>
      <c r="E13" s="254">
        <v>69.25</v>
      </c>
      <c r="F13" s="254"/>
      <c r="G13" s="254"/>
      <c r="H13" s="257">
        <v>6.6894148206644161E-2</v>
      </c>
      <c r="I13" s="258">
        <f t="shared" si="0"/>
        <v>16.72353705166104</v>
      </c>
      <c r="J13" s="259">
        <f t="shared" si="1"/>
        <v>1158.1049408275271</v>
      </c>
      <c r="K13" s="260">
        <f t="shared" si="2"/>
        <v>6.6161670972518585E-2</v>
      </c>
      <c r="L13" s="253">
        <v>6</v>
      </c>
    </row>
    <row r="14" spans="2:12">
      <c r="B14" s="55">
        <v>9</v>
      </c>
      <c r="C14" s="55" t="s">
        <v>61</v>
      </c>
      <c r="D14" s="253" t="s">
        <v>65</v>
      </c>
      <c r="E14" s="254">
        <v>90</v>
      </c>
      <c r="F14" s="254"/>
      <c r="G14" s="254"/>
      <c r="H14" s="257">
        <v>9.7311994106333603E-4</v>
      </c>
      <c r="I14" s="258">
        <f t="shared" si="0"/>
        <v>0.243279985265834</v>
      </c>
      <c r="J14" s="259">
        <f t="shared" si="1"/>
        <v>21.895198673925059</v>
      </c>
      <c r="K14" s="260">
        <f t="shared" si="2"/>
        <v>1.2508563597932994E-3</v>
      </c>
      <c r="L14" s="253"/>
    </row>
    <row r="15" spans="2:12">
      <c r="B15" s="55">
        <v>10</v>
      </c>
      <c r="C15" s="55" t="s">
        <v>62</v>
      </c>
      <c r="D15" s="253" t="s">
        <v>65</v>
      </c>
      <c r="E15" s="254">
        <v>58.53</v>
      </c>
      <c r="F15" s="254"/>
      <c r="G15" s="254"/>
      <c r="H15" s="257">
        <v>4.708644876112916E-4</v>
      </c>
      <c r="I15" s="258">
        <f t="shared" si="0"/>
        <v>0.11771612190282291</v>
      </c>
      <c r="J15" s="259">
        <f t="shared" si="1"/>
        <v>6.8899246149722249</v>
      </c>
      <c r="K15" s="260">
        <f t="shared" si="2"/>
        <v>3.9361625128334315E-4</v>
      </c>
      <c r="L15" s="253"/>
    </row>
    <row r="16" spans="2:12">
      <c r="B16" s="55">
        <v>11</v>
      </c>
      <c r="C16" s="55" t="s">
        <v>63</v>
      </c>
      <c r="D16" s="253" t="s">
        <v>65</v>
      </c>
      <c r="E16" s="254">
        <v>440</v>
      </c>
      <c r="F16" s="254"/>
      <c r="G16" s="254"/>
      <c r="H16" s="257">
        <v>1.3184205653116166E-3</v>
      </c>
      <c r="I16" s="258">
        <f t="shared" si="0"/>
        <v>0.32960514132790414</v>
      </c>
      <c r="J16" s="259">
        <f t="shared" si="1"/>
        <v>145.02626218427781</v>
      </c>
      <c r="K16" s="260">
        <f t="shared" si="2"/>
        <v>8.2852421250824999E-3</v>
      </c>
      <c r="L16" s="253"/>
    </row>
    <row r="17" spans="2:12">
      <c r="B17" s="55">
        <v>12</v>
      </c>
      <c r="C17" s="55" t="s">
        <v>64</v>
      </c>
      <c r="D17" s="253" t="s">
        <v>65</v>
      </c>
      <c r="E17" s="254">
        <v>202.5</v>
      </c>
      <c r="F17" s="254"/>
      <c r="G17" s="254"/>
      <c r="H17" s="257">
        <v>5.2548476817420142E-2</v>
      </c>
      <c r="I17" s="258">
        <f t="shared" si="0"/>
        <v>13.137119204355036</v>
      </c>
      <c r="J17" s="259">
        <f t="shared" si="1"/>
        <v>2660.2666388818948</v>
      </c>
      <c r="K17" s="260">
        <f t="shared" si="2"/>
        <v>0.15197904771488588</v>
      </c>
      <c r="L17" s="253">
        <v>2</v>
      </c>
    </row>
    <row r="18" spans="2:12">
      <c r="B18" s="55">
        <v>13</v>
      </c>
      <c r="C18" s="55" t="s">
        <v>71</v>
      </c>
      <c r="D18" s="253" t="s">
        <v>65</v>
      </c>
      <c r="E18" s="254">
        <v>279</v>
      </c>
      <c r="F18" s="254"/>
      <c r="G18" s="254"/>
      <c r="H18" s="257">
        <v>2.6211456477028567E-2</v>
      </c>
      <c r="I18" s="258">
        <f t="shared" si="0"/>
        <v>6.5528641192571415</v>
      </c>
      <c r="J18" s="259">
        <f t="shared" si="1"/>
        <v>1828.2490892727426</v>
      </c>
      <c r="K18" s="260">
        <f t="shared" si="2"/>
        <v>0.10444650604274051</v>
      </c>
      <c r="L18" s="253">
        <v>4</v>
      </c>
    </row>
    <row r="19" spans="2:12">
      <c r="B19" s="261"/>
      <c r="C19" s="233" t="s">
        <v>75</v>
      </c>
      <c r="D19" s="262"/>
      <c r="E19" s="261"/>
      <c r="F19" s="261"/>
      <c r="G19" s="261"/>
      <c r="H19" s="261"/>
      <c r="I19" s="265">
        <f>SUM(I10:I18)</f>
        <v>130.24896501474345</v>
      </c>
      <c r="J19" s="266">
        <f>SUM(J10:J18)</f>
        <v>7411.9363651632202</v>
      </c>
      <c r="K19" s="267">
        <f t="shared" si="2"/>
        <v>0.42343839299292479</v>
      </c>
      <c r="L19" s="262"/>
    </row>
    <row r="20" spans="2:12">
      <c r="B20" s="55"/>
      <c r="C20" s="55"/>
      <c r="D20" s="253"/>
      <c r="E20" s="55"/>
      <c r="F20" s="55"/>
      <c r="G20" s="55"/>
      <c r="H20" s="55"/>
      <c r="I20" s="55"/>
      <c r="J20" s="269"/>
      <c r="K20" s="55"/>
      <c r="L20" s="253"/>
    </row>
    <row r="21" spans="2:12">
      <c r="B21" s="261"/>
      <c r="C21" s="233" t="s">
        <v>97</v>
      </c>
      <c r="D21" s="262" t="s">
        <v>65</v>
      </c>
      <c r="E21" s="261"/>
      <c r="F21" s="261"/>
      <c r="G21" s="261"/>
      <c r="H21" s="270">
        <f>SUM(H4:H19)</f>
        <v>1.000021998788861</v>
      </c>
      <c r="I21" s="271">
        <v>250</v>
      </c>
      <c r="J21" s="266">
        <f>J8+J19</f>
        <v>17504.167047240484</v>
      </c>
      <c r="K21" s="267">
        <f>J21/$J$21</f>
        <v>1</v>
      </c>
      <c r="L21" s="262"/>
    </row>
    <row r="22" spans="2:12">
      <c r="B22" s="55"/>
      <c r="C22" s="55"/>
      <c r="D22" s="253"/>
      <c r="E22" s="55"/>
      <c r="F22" s="55"/>
      <c r="G22" s="55"/>
      <c r="H22" s="260"/>
      <c r="I22" s="272"/>
      <c r="J22" s="273"/>
      <c r="K22" s="274"/>
      <c r="L22" s="253"/>
    </row>
    <row r="23" spans="2:12">
      <c r="B23" s="261"/>
      <c r="C23" s="233" t="s">
        <v>93</v>
      </c>
      <c r="D23" s="261"/>
      <c r="E23" s="261" t="s">
        <v>76</v>
      </c>
      <c r="F23" s="261"/>
      <c r="G23" s="275">
        <f>H21-H23</f>
        <v>4.0021998788861035E-2</v>
      </c>
      <c r="H23" s="276">
        <f>1-(I21-I23)/I21</f>
        <v>0.96</v>
      </c>
      <c r="I23" s="271">
        <v>240</v>
      </c>
      <c r="J23" s="277">
        <f>J21/H23</f>
        <v>18233.507340875505</v>
      </c>
      <c r="K23" s="55"/>
      <c r="L23" s="55"/>
    </row>
    <row r="24" spans="2:12">
      <c r="B24" s="55"/>
      <c r="C24" s="278"/>
      <c r="D24" s="55"/>
      <c r="E24" s="55"/>
      <c r="F24" s="55"/>
      <c r="G24" s="279"/>
      <c r="H24" s="280"/>
      <c r="I24" s="272"/>
      <c r="J24" s="281"/>
      <c r="K24" s="55"/>
      <c r="L24" s="55"/>
    </row>
    <row r="25" spans="2:12">
      <c r="B25" s="261"/>
      <c r="C25" s="233" t="s">
        <v>95</v>
      </c>
      <c r="D25" s="261"/>
      <c r="E25" s="261"/>
      <c r="F25" s="261"/>
      <c r="G25" s="275"/>
      <c r="H25" s="276"/>
      <c r="I25" s="282" t="s">
        <v>67</v>
      </c>
      <c r="J25" s="283">
        <f>J23/I23</f>
        <v>75.972947253647945</v>
      </c>
      <c r="K25" s="261"/>
      <c r="L25" s="261"/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1"/>
  </sheetPr>
  <dimension ref="A2:S19"/>
  <sheetViews>
    <sheetView workbookViewId="0">
      <selection activeCell="M37" sqref="M37"/>
    </sheetView>
  </sheetViews>
  <sheetFormatPr defaultColWidth="9.109375" defaultRowHeight="13.8"/>
  <cols>
    <col min="1" max="2" width="9.109375" style="246"/>
    <col min="3" max="5" width="6" style="246" customWidth="1"/>
    <col min="6" max="8" width="9.109375" style="246"/>
    <col min="9" max="9" width="15.109375" style="246" customWidth="1"/>
    <col min="10" max="12" width="6" style="246" customWidth="1"/>
    <col min="13" max="13" width="6.5546875" style="246" customWidth="1"/>
    <col min="14" max="19" width="9.109375" style="246"/>
    <col min="20" max="16384" width="9.109375" style="22"/>
  </cols>
  <sheetData>
    <row r="2" spans="2:13">
      <c r="B2" s="414" t="s">
        <v>11</v>
      </c>
      <c r="C2" s="26" t="s">
        <v>4</v>
      </c>
      <c r="D2" s="26" t="s">
        <v>5</v>
      </c>
      <c r="E2" s="26" t="s">
        <v>6</v>
      </c>
      <c r="F2" s="26" t="s">
        <v>7</v>
      </c>
      <c r="I2" s="414" t="s">
        <v>11</v>
      </c>
      <c r="J2" s="26" t="s">
        <v>4</v>
      </c>
      <c r="K2" s="26" t="s">
        <v>5</v>
      </c>
      <c r="L2" s="26" t="s">
        <v>6</v>
      </c>
      <c r="M2" s="26" t="s">
        <v>7</v>
      </c>
    </row>
    <row r="3" spans="2:13">
      <c r="B3" s="38" t="s">
        <v>0</v>
      </c>
      <c r="C3" s="415">
        <v>100</v>
      </c>
      <c r="D3" s="415">
        <v>150</v>
      </c>
      <c r="E3" s="415">
        <v>200</v>
      </c>
      <c r="F3" s="38"/>
      <c r="I3" s="38" t="s">
        <v>0</v>
      </c>
      <c r="J3" s="415">
        <v>100</v>
      </c>
      <c r="K3" s="415">
        <v>150</v>
      </c>
      <c r="L3" s="415">
        <v>200</v>
      </c>
      <c r="M3" s="38"/>
    </row>
    <row r="4" spans="2:13">
      <c r="B4" s="38" t="s">
        <v>1</v>
      </c>
      <c r="C4" s="415">
        <v>15</v>
      </c>
      <c r="D4" s="415">
        <v>10</v>
      </c>
      <c r="E4" s="415">
        <v>10</v>
      </c>
      <c r="F4" s="38"/>
      <c r="I4" s="38" t="s">
        <v>13</v>
      </c>
      <c r="J4" s="415">
        <f>1200/15</f>
        <v>80</v>
      </c>
      <c r="K4" s="415">
        <f>1600/10</f>
        <v>160</v>
      </c>
      <c r="L4" s="415">
        <v>150</v>
      </c>
      <c r="M4" s="38"/>
    </row>
    <row r="5" spans="2:13">
      <c r="B5" s="59" t="s">
        <v>2</v>
      </c>
      <c r="C5" s="59">
        <f>C3*C4</f>
        <v>1500</v>
      </c>
      <c r="D5" s="59">
        <f>D3*D4</f>
        <v>1500</v>
      </c>
      <c r="E5" s="59">
        <f>E3*E4</f>
        <v>2000</v>
      </c>
      <c r="F5" s="59">
        <f>SUM(C5:E5)</f>
        <v>5000</v>
      </c>
      <c r="I5" s="59" t="s">
        <v>14</v>
      </c>
      <c r="J5" s="416">
        <f>J3-J4</f>
        <v>20</v>
      </c>
      <c r="K5" s="416">
        <f>K3-K4</f>
        <v>-10</v>
      </c>
      <c r="L5" s="416">
        <f>L3-L4</f>
        <v>50</v>
      </c>
      <c r="M5" s="59"/>
    </row>
    <row r="6" spans="2:13">
      <c r="B6" s="38" t="s">
        <v>8</v>
      </c>
      <c r="C6" s="38"/>
      <c r="D6" s="38"/>
      <c r="E6" s="38"/>
      <c r="F6" s="415">
        <v>4300</v>
      </c>
      <c r="I6" s="38" t="s">
        <v>1</v>
      </c>
      <c r="J6" s="415">
        <v>15</v>
      </c>
      <c r="K6" s="415">
        <v>10</v>
      </c>
      <c r="L6" s="415">
        <v>10</v>
      </c>
      <c r="M6" s="38"/>
    </row>
    <row r="7" spans="2:13">
      <c r="B7" s="38" t="s">
        <v>3</v>
      </c>
      <c r="C7" s="417"/>
      <c r="D7" s="417"/>
      <c r="E7" s="417"/>
      <c r="F7" s="38">
        <f>F5-F6</f>
        <v>700</v>
      </c>
      <c r="I7" s="261" t="s">
        <v>3</v>
      </c>
      <c r="J7" s="416">
        <f>J5*J6</f>
        <v>300</v>
      </c>
      <c r="K7" s="416">
        <f>K5*K6</f>
        <v>-100</v>
      </c>
      <c r="L7" s="416">
        <f>L5*L6</f>
        <v>500</v>
      </c>
      <c r="M7" s="261">
        <f>SUM(J7:L7)</f>
        <v>700</v>
      </c>
    </row>
    <row r="8" spans="2:13">
      <c r="B8" s="38" t="s">
        <v>9</v>
      </c>
      <c r="C8" s="38"/>
      <c r="D8" s="38"/>
      <c r="E8" s="38"/>
      <c r="F8" s="415">
        <v>500</v>
      </c>
      <c r="I8" s="38" t="s">
        <v>9</v>
      </c>
      <c r="J8" s="38"/>
      <c r="K8" s="38"/>
      <c r="L8" s="38"/>
      <c r="M8" s="415">
        <v>500</v>
      </c>
    </row>
    <row r="9" spans="2:13">
      <c r="B9" s="240" t="s">
        <v>10</v>
      </c>
      <c r="C9" s="240"/>
      <c r="D9" s="240"/>
      <c r="E9" s="240"/>
      <c r="F9" s="240">
        <f>F7-F8</f>
        <v>200</v>
      </c>
      <c r="I9" s="240" t="s">
        <v>10</v>
      </c>
      <c r="J9" s="240"/>
      <c r="K9" s="240"/>
      <c r="L9" s="240"/>
      <c r="M9" s="240">
        <f>M7-M8</f>
        <v>200</v>
      </c>
    </row>
    <row r="12" spans="2:13">
      <c r="B12" s="414" t="s">
        <v>12</v>
      </c>
      <c r="C12" s="26" t="s">
        <v>4</v>
      </c>
      <c r="D12" s="26" t="s">
        <v>5</v>
      </c>
      <c r="E12" s="26" t="s">
        <v>6</v>
      </c>
      <c r="F12" s="26" t="s">
        <v>7</v>
      </c>
      <c r="I12" s="414" t="s">
        <v>12</v>
      </c>
      <c r="J12" s="26" t="s">
        <v>4</v>
      </c>
      <c r="K12" s="26" t="s">
        <v>5</v>
      </c>
      <c r="L12" s="26" t="s">
        <v>6</v>
      </c>
      <c r="M12" s="26" t="s">
        <v>7</v>
      </c>
    </row>
    <row r="13" spans="2:13">
      <c r="B13" s="38" t="s">
        <v>0</v>
      </c>
      <c r="C13" s="415">
        <v>100</v>
      </c>
      <c r="D13" s="415">
        <v>150</v>
      </c>
      <c r="E13" s="415">
        <v>200</v>
      </c>
      <c r="F13" s="38"/>
      <c r="I13" s="38" t="s">
        <v>0</v>
      </c>
      <c r="J13" s="415">
        <v>100</v>
      </c>
      <c r="K13" s="415">
        <v>150</v>
      </c>
      <c r="L13" s="415">
        <v>200</v>
      </c>
      <c r="M13" s="38"/>
    </row>
    <row r="14" spans="2:13">
      <c r="B14" s="38" t="s">
        <v>1</v>
      </c>
      <c r="C14" s="415">
        <v>15</v>
      </c>
      <c r="D14" s="415">
        <v>20</v>
      </c>
      <c r="E14" s="415">
        <v>13</v>
      </c>
      <c r="F14" s="38"/>
      <c r="I14" s="38" t="s">
        <v>13</v>
      </c>
      <c r="J14" s="415">
        <f>1200/15</f>
        <v>80</v>
      </c>
      <c r="K14" s="415">
        <f>1600/10</f>
        <v>160</v>
      </c>
      <c r="L14" s="415">
        <v>150</v>
      </c>
      <c r="M14" s="38"/>
    </row>
    <row r="15" spans="2:13">
      <c r="B15" s="59" t="s">
        <v>2</v>
      </c>
      <c r="C15" s="59">
        <f>C13*C14</f>
        <v>1500</v>
      </c>
      <c r="D15" s="59">
        <f>D13*D14</f>
        <v>3000</v>
      </c>
      <c r="E15" s="59">
        <f>E13*E14</f>
        <v>2600</v>
      </c>
      <c r="F15" s="59">
        <f>SUM(C15:E15)</f>
        <v>7100</v>
      </c>
      <c r="I15" s="59" t="s">
        <v>14</v>
      </c>
      <c r="J15" s="416">
        <f>J13-J14</f>
        <v>20</v>
      </c>
      <c r="K15" s="416">
        <f>K13-K14</f>
        <v>-10</v>
      </c>
      <c r="L15" s="416">
        <f>L13-L14</f>
        <v>50</v>
      </c>
      <c r="M15" s="59"/>
    </row>
    <row r="16" spans="2:13">
      <c r="B16" s="38" t="s">
        <v>8</v>
      </c>
      <c r="C16" s="38"/>
      <c r="D16" s="38"/>
      <c r="E16" s="38"/>
      <c r="F16" s="415">
        <v>6350</v>
      </c>
      <c r="I16" s="38" t="s">
        <v>1</v>
      </c>
      <c r="J16" s="415">
        <v>15</v>
      </c>
      <c r="K16" s="418">
        <v>0</v>
      </c>
      <c r="L16" s="415">
        <v>13</v>
      </c>
      <c r="M16" s="38"/>
    </row>
    <row r="17" spans="2:14">
      <c r="B17" s="38" t="s">
        <v>3</v>
      </c>
      <c r="C17" s="417"/>
      <c r="D17" s="417"/>
      <c r="E17" s="417"/>
      <c r="F17" s="38">
        <f>F15-F16</f>
        <v>750</v>
      </c>
      <c r="I17" s="59" t="s">
        <v>3</v>
      </c>
      <c r="J17" s="416">
        <f>J15*J16</f>
        <v>300</v>
      </c>
      <c r="K17" s="416">
        <f>K15*K16</f>
        <v>0</v>
      </c>
      <c r="L17" s="416">
        <f>L15*L16</f>
        <v>650</v>
      </c>
      <c r="M17" s="261">
        <f>SUM(J17:L17)</f>
        <v>950</v>
      </c>
    </row>
    <row r="18" spans="2:14">
      <c r="B18" s="38" t="s">
        <v>9</v>
      </c>
      <c r="C18" s="38"/>
      <c r="D18" s="38"/>
      <c r="E18" s="38"/>
      <c r="F18" s="415">
        <v>500</v>
      </c>
      <c r="I18" s="38" t="s">
        <v>9</v>
      </c>
      <c r="J18" s="38"/>
      <c r="K18" s="38"/>
      <c r="L18" s="38"/>
      <c r="M18" s="415">
        <v>500</v>
      </c>
    </row>
    <row r="19" spans="2:14">
      <c r="B19" s="240" t="s">
        <v>10</v>
      </c>
      <c r="C19" s="240"/>
      <c r="D19" s="240"/>
      <c r="E19" s="240"/>
      <c r="F19" s="240">
        <f>F17-F18</f>
        <v>250</v>
      </c>
      <c r="G19" s="419" t="s">
        <v>16</v>
      </c>
      <c r="I19" s="240" t="s">
        <v>10</v>
      </c>
      <c r="J19" s="240"/>
      <c r="K19" s="240"/>
      <c r="L19" s="240"/>
      <c r="M19" s="240">
        <f>M17-M18</f>
        <v>450</v>
      </c>
      <c r="N19" s="420" t="s">
        <v>15</v>
      </c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3"/>
  </sheetPr>
  <dimension ref="B1:AA15"/>
  <sheetViews>
    <sheetView zoomScaleNormal="100" workbookViewId="0">
      <pane ySplit="3" topLeftCell="A4" activePane="bottomLeft" state="frozen"/>
      <selection activeCell="M37" sqref="M37"/>
      <selection pane="bottomLeft" activeCell="AC20" sqref="AC20"/>
    </sheetView>
  </sheetViews>
  <sheetFormatPr defaultRowHeight="13.8" outlineLevelCol="1"/>
  <cols>
    <col min="1" max="1" width="3" style="55" customWidth="1"/>
    <col min="2" max="2" width="7.5546875" style="55" customWidth="1"/>
    <col min="3" max="3" width="13.33203125" style="55" hidden="1" customWidth="1" outlineLevel="1"/>
    <col min="4" max="4" width="12.77734375" style="55" hidden="1" customWidth="1" outlineLevel="1"/>
    <col min="5" max="5" width="16.21875" style="55" hidden="1" customWidth="1" outlineLevel="1"/>
    <col min="6" max="6" width="14" style="55" hidden="1" customWidth="1" outlineLevel="1"/>
    <col min="7" max="7" width="3.77734375" style="55" bestFit="1" customWidth="1" collapsed="1"/>
    <col min="8" max="8" width="6.21875" style="55" bestFit="1" customWidth="1"/>
    <col min="9" max="9" width="7.33203125" style="55" bestFit="1" customWidth="1"/>
    <col min="10" max="10" width="5" style="55" bestFit="1" customWidth="1"/>
    <col min="11" max="11" width="8.5546875" style="55" hidden="1" customWidth="1" outlineLevel="1"/>
    <col min="12" max="12" width="8.77734375" style="55" hidden="1" customWidth="1" outlineLevel="1"/>
    <col min="13" max="13" width="7.33203125" style="55" bestFit="1" customWidth="1" collapsed="1"/>
    <col min="14" max="15" width="8.5546875" style="55" hidden="1" customWidth="1" outlineLevel="1"/>
    <col min="16" max="16" width="7.33203125" style="55" bestFit="1" customWidth="1" collapsed="1"/>
    <col min="17" max="17" width="7.33203125" style="55" bestFit="1" customWidth="1"/>
    <col min="18" max="21" width="8.5546875" style="55" hidden="1" customWidth="1" outlineLevel="1"/>
    <col min="22" max="22" width="8" style="55" hidden="1" customWidth="1" outlineLevel="1"/>
    <col min="23" max="23" width="9.109375" style="55" hidden="1" customWidth="1" outlineLevel="1"/>
    <col min="24" max="25" width="5.5546875" style="55" hidden="1" customWidth="1" outlineLevel="1"/>
    <col min="26" max="26" width="8.5546875" style="55" hidden="1" customWidth="1" outlineLevel="1"/>
    <col min="27" max="27" width="9.109375" style="55" customWidth="1" collapsed="1"/>
    <col min="28" max="16384" width="8.88671875" style="55"/>
  </cols>
  <sheetData>
    <row r="1" spans="2:27" ht="18">
      <c r="B1" s="421" t="s">
        <v>43</v>
      </c>
      <c r="C1" s="421"/>
      <c r="D1" s="421"/>
      <c r="E1" s="421"/>
      <c r="F1" s="421"/>
    </row>
    <row r="3" spans="2:27" ht="33.75" customHeight="1">
      <c r="B3" s="450" t="s">
        <v>437</v>
      </c>
      <c r="C3" s="451" t="s">
        <v>17</v>
      </c>
      <c r="D3" s="451" t="s">
        <v>18</v>
      </c>
      <c r="E3" s="451" t="s">
        <v>19</v>
      </c>
      <c r="F3" s="451" t="s">
        <v>20</v>
      </c>
      <c r="G3" s="452" t="s">
        <v>0</v>
      </c>
      <c r="H3" s="452" t="s">
        <v>1</v>
      </c>
      <c r="I3" s="451" t="s">
        <v>41</v>
      </c>
      <c r="J3" s="452" t="s">
        <v>21</v>
      </c>
      <c r="K3" s="453" t="s">
        <v>22</v>
      </c>
      <c r="L3" s="453" t="s">
        <v>42</v>
      </c>
      <c r="M3" s="452" t="s">
        <v>25</v>
      </c>
      <c r="N3" s="451" t="s">
        <v>26</v>
      </c>
      <c r="O3" s="451" t="s">
        <v>27</v>
      </c>
      <c r="P3" s="451" t="s">
        <v>28</v>
      </c>
      <c r="Q3" s="451" t="s">
        <v>29</v>
      </c>
      <c r="R3" s="451" t="s">
        <v>30</v>
      </c>
      <c r="S3" s="451" t="s">
        <v>31</v>
      </c>
      <c r="T3" s="451" t="s">
        <v>45</v>
      </c>
      <c r="U3" s="451" t="s">
        <v>46</v>
      </c>
      <c r="V3" s="451" t="s">
        <v>47</v>
      </c>
      <c r="W3" s="452" t="s">
        <v>32</v>
      </c>
      <c r="X3" s="454" t="s">
        <v>33</v>
      </c>
      <c r="Y3" s="454" t="s">
        <v>34</v>
      </c>
      <c r="Z3" s="451" t="s">
        <v>35</v>
      </c>
    </row>
    <row r="4" spans="2:27" s="438" customFormat="1" ht="15.6">
      <c r="B4" s="440" t="s">
        <v>48</v>
      </c>
      <c r="C4" s="423" t="s">
        <v>36</v>
      </c>
      <c r="D4" s="423" t="s">
        <v>37</v>
      </c>
      <c r="E4" s="423" t="s">
        <v>38</v>
      </c>
      <c r="F4" s="423" t="s">
        <v>39</v>
      </c>
      <c r="G4" s="427">
        <v>50</v>
      </c>
      <c r="H4" s="427">
        <v>30</v>
      </c>
      <c r="I4" s="428">
        <f>G4*H4</f>
        <v>1500</v>
      </c>
      <c r="J4" s="427">
        <v>20</v>
      </c>
      <c r="K4" s="441"/>
      <c r="L4" s="426"/>
      <c r="M4" s="429">
        <v>700</v>
      </c>
      <c r="N4" s="442">
        <f>M4/H4</f>
        <v>23.333333333333332</v>
      </c>
      <c r="O4" s="442">
        <f>J4+N4</f>
        <v>43.333333333333329</v>
      </c>
      <c r="P4" s="428">
        <f>J4*H4+M4</f>
        <v>1300</v>
      </c>
      <c r="Q4" s="428">
        <f>I4-P4</f>
        <v>200</v>
      </c>
      <c r="R4" s="442">
        <f>G4-O4</f>
        <v>6.6666666666666714</v>
      </c>
      <c r="S4" s="433">
        <f>M4/(G4-J4)</f>
        <v>23.333333333333332</v>
      </c>
      <c r="T4" s="434">
        <f>J4+M4/H4</f>
        <v>43.333333333333329</v>
      </c>
      <c r="U4" s="434">
        <f>G4-M4/H4</f>
        <v>26.666666666666668</v>
      </c>
      <c r="V4" s="428">
        <f>(G4-J4)*H4</f>
        <v>900</v>
      </c>
      <c r="W4" s="436">
        <v>0.25</v>
      </c>
      <c r="X4" s="431">
        <f>IF(Q4&gt;0,Q4*W4,0)</f>
        <v>50</v>
      </c>
      <c r="Y4" s="428">
        <f>Q4-X4</f>
        <v>150</v>
      </c>
      <c r="Z4" s="437">
        <f>(Q4-X4)/I4</f>
        <v>0.1</v>
      </c>
    </row>
    <row r="5" spans="2:27" s="438" customFormat="1" ht="15.6">
      <c r="B5" s="440" t="s">
        <v>49</v>
      </c>
      <c r="C5" s="423" t="s">
        <v>36</v>
      </c>
      <c r="D5" s="423" t="s">
        <v>37</v>
      </c>
      <c r="E5" s="423" t="s">
        <v>38</v>
      </c>
      <c r="F5" s="423" t="s">
        <v>39</v>
      </c>
      <c r="G5" s="427">
        <v>6</v>
      </c>
      <c r="H5" s="427">
        <v>1000</v>
      </c>
      <c r="I5" s="428">
        <f>G5*H5</f>
        <v>6000</v>
      </c>
      <c r="J5" s="427">
        <v>4</v>
      </c>
      <c r="K5" s="441"/>
      <c r="L5" s="426"/>
      <c r="M5" s="429">
        <v>1000</v>
      </c>
      <c r="N5" s="443">
        <f>M5/H5</f>
        <v>1</v>
      </c>
      <c r="O5" s="442">
        <f>J5+N5</f>
        <v>5</v>
      </c>
      <c r="P5" s="428">
        <f>J5*H5+M5</f>
        <v>5000</v>
      </c>
      <c r="Q5" s="428">
        <f>I5-P5</f>
        <v>1000</v>
      </c>
      <c r="R5" s="442">
        <f>G5-O5</f>
        <v>1</v>
      </c>
      <c r="S5" s="433">
        <f>M5/(G5-J5)</f>
        <v>500</v>
      </c>
      <c r="T5" s="434">
        <f>J5+M5/H5</f>
        <v>5</v>
      </c>
      <c r="U5" s="434">
        <f>G5-M5/H5</f>
        <v>5</v>
      </c>
      <c r="V5" s="428">
        <f>(G5-J5)*H5</f>
        <v>2000</v>
      </c>
      <c r="W5" s="436">
        <v>0.25</v>
      </c>
      <c r="X5" s="431">
        <f>IF(Q5&gt;0,Q5*W5,0)</f>
        <v>250</v>
      </c>
      <c r="Y5" s="428">
        <f>Q5-X5</f>
        <v>750</v>
      </c>
      <c r="Z5" s="437">
        <f>(Q5-X5)/I5</f>
        <v>0.125</v>
      </c>
    </row>
    <row r="6" spans="2:27" s="438" customFormat="1" ht="15.6">
      <c r="B6" s="440" t="s">
        <v>50</v>
      </c>
      <c r="C6" s="423" t="s">
        <v>36</v>
      </c>
      <c r="D6" s="423" t="s">
        <v>37</v>
      </c>
      <c r="E6" s="423" t="s">
        <v>38</v>
      </c>
      <c r="F6" s="423" t="s">
        <v>39</v>
      </c>
      <c r="G6" s="444"/>
      <c r="H6" s="427"/>
      <c r="I6" s="428">
        <f>G6*H6</f>
        <v>0</v>
      </c>
      <c r="J6" s="424"/>
      <c r="K6" s="441"/>
      <c r="L6" s="426"/>
      <c r="M6" s="429"/>
      <c r="N6" s="442" t="e">
        <f>M6/H6</f>
        <v>#DIV/0!</v>
      </c>
      <c r="O6" s="443" t="e">
        <f>J6+N6</f>
        <v>#DIV/0!</v>
      </c>
      <c r="P6" s="428">
        <f>J6*H6+M6</f>
        <v>0</v>
      </c>
      <c r="Q6" s="428">
        <f>I6-P6</f>
        <v>0</v>
      </c>
      <c r="R6" s="442" t="e">
        <f>G6-O6</f>
        <v>#DIV/0!</v>
      </c>
      <c r="S6" s="433" t="e">
        <f>M6/(G6-J6)</f>
        <v>#DIV/0!</v>
      </c>
      <c r="T6" s="434" t="e">
        <f>J6+M6/H6</f>
        <v>#DIV/0!</v>
      </c>
      <c r="U6" s="434" t="e">
        <f>G6-M6/H6</f>
        <v>#DIV/0!</v>
      </c>
      <c r="V6" s="428">
        <f>(G6-J6)*H6</f>
        <v>0</v>
      </c>
      <c r="W6" s="436"/>
      <c r="X6" s="431">
        <f>IF(Q6&gt;0,Q6*W6,0)</f>
        <v>0</v>
      </c>
      <c r="Y6" s="428">
        <f>Q6-X6</f>
        <v>0</v>
      </c>
      <c r="Z6" s="437" t="e">
        <f>(Q6-X6)/I6</f>
        <v>#DIV/0!</v>
      </c>
    </row>
    <row r="7" spans="2:27" s="438" customFormat="1" ht="15.6">
      <c r="B7" s="440" t="s">
        <v>51</v>
      </c>
      <c r="C7" s="423" t="s">
        <v>36</v>
      </c>
      <c r="D7" s="423" t="s">
        <v>37</v>
      </c>
      <c r="E7" s="423" t="s">
        <v>38</v>
      </c>
      <c r="F7" s="423" t="s">
        <v>39</v>
      </c>
      <c r="G7" s="444"/>
      <c r="H7" s="427"/>
      <c r="I7" s="428">
        <f>G7*H7</f>
        <v>0</v>
      </c>
      <c r="J7" s="424"/>
      <c r="K7" s="441"/>
      <c r="L7" s="426"/>
      <c r="M7" s="429"/>
      <c r="N7" s="442" t="e">
        <f>M7/H7</f>
        <v>#DIV/0!</v>
      </c>
      <c r="O7" s="442" t="e">
        <f>J7+N7</f>
        <v>#DIV/0!</v>
      </c>
      <c r="P7" s="428">
        <f>J7*H7+M7</f>
        <v>0</v>
      </c>
      <c r="Q7" s="428">
        <f>I7-P7</f>
        <v>0</v>
      </c>
      <c r="R7" s="442" t="e">
        <f>G7-O7</f>
        <v>#DIV/0!</v>
      </c>
      <c r="S7" s="433" t="e">
        <f>M7/(G7-J7)</f>
        <v>#DIV/0!</v>
      </c>
      <c r="T7" s="434" t="e">
        <f>J7+M7/H7</f>
        <v>#DIV/0!</v>
      </c>
      <c r="U7" s="434" t="e">
        <f>G7-M7/H7</f>
        <v>#DIV/0!</v>
      </c>
      <c r="V7" s="428">
        <f>(G7-J7)*H7</f>
        <v>0</v>
      </c>
      <c r="W7" s="436"/>
      <c r="X7" s="431">
        <f>IF(Q7&gt;0,Q7*W7,0)</f>
        <v>0</v>
      </c>
      <c r="Y7" s="428">
        <f>Q7-X7</f>
        <v>0</v>
      </c>
      <c r="Z7" s="437" t="e">
        <f>(Q7-X7)/I7</f>
        <v>#DIV/0!</v>
      </c>
    </row>
    <row r="8" spans="2:27" s="438" customFormat="1" ht="15.6">
      <c r="B8" s="440" t="s">
        <v>52</v>
      </c>
      <c r="C8" s="423" t="s">
        <v>36</v>
      </c>
      <c r="D8" s="423" t="s">
        <v>37</v>
      </c>
      <c r="E8" s="423" t="s">
        <v>38</v>
      </c>
      <c r="F8" s="423" t="s">
        <v>39</v>
      </c>
      <c r="G8" s="444"/>
      <c r="H8" s="427"/>
      <c r="I8" s="428">
        <f>G8*H8</f>
        <v>0</v>
      </c>
      <c r="J8" s="424"/>
      <c r="K8" s="441"/>
      <c r="L8" s="426"/>
      <c r="M8" s="429"/>
      <c r="N8" s="442" t="e">
        <f>M8/H8</f>
        <v>#DIV/0!</v>
      </c>
      <c r="O8" s="443" t="e">
        <f>J8+N8</f>
        <v>#DIV/0!</v>
      </c>
      <c r="P8" s="428">
        <f>J8*H8+M8</f>
        <v>0</v>
      </c>
      <c r="Q8" s="428">
        <f>I8-P8</f>
        <v>0</v>
      </c>
      <c r="R8" s="442" t="e">
        <f>G8-O8</f>
        <v>#DIV/0!</v>
      </c>
      <c r="S8" s="433" t="e">
        <f>M8/(G8-J8)</f>
        <v>#DIV/0!</v>
      </c>
      <c r="T8" s="434" t="e">
        <f>J8+M8/H8</f>
        <v>#DIV/0!</v>
      </c>
      <c r="U8" s="434" t="e">
        <f>G8-M8/H8</f>
        <v>#DIV/0!</v>
      </c>
      <c r="V8" s="428">
        <f>(G8-J8)*H8</f>
        <v>0</v>
      </c>
      <c r="W8" s="436"/>
      <c r="X8" s="431">
        <f>IF(Q8&gt;0,Q8*W8,0)</f>
        <v>0</v>
      </c>
      <c r="Y8" s="428">
        <f>Q8-X8</f>
        <v>0</v>
      </c>
      <c r="Z8" s="437" t="e">
        <f>(Q8-X8)/I8</f>
        <v>#DIV/0!</v>
      </c>
    </row>
    <row r="15" spans="2:27">
      <c r="AA15" s="445"/>
    </row>
  </sheetData>
  <sheetProtection formatCells="0" formatColumns="0" formatRows="0" insertColumns="0" insertRows="0" sort="0" autoFilter="0" pivotTables="0"/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3"/>
  </sheetPr>
  <dimension ref="B1:AB6"/>
  <sheetViews>
    <sheetView zoomScaleNormal="100" workbookViewId="0">
      <pane ySplit="3" topLeftCell="A4" activePane="bottomLeft" state="frozen"/>
      <selection activeCell="M37" sqref="M37"/>
      <selection pane="bottomLeft" activeCell="B4" sqref="B4"/>
    </sheetView>
  </sheetViews>
  <sheetFormatPr defaultRowHeight="13.8" outlineLevelCol="1"/>
  <cols>
    <col min="1" max="1" width="2.88671875" style="55" customWidth="1"/>
    <col min="2" max="2" width="4.44140625" style="55" customWidth="1"/>
    <col min="3" max="3" width="13.33203125" style="55" hidden="1" customWidth="1" outlineLevel="1"/>
    <col min="4" max="4" width="10.77734375" style="55" hidden="1" customWidth="1" outlineLevel="1"/>
    <col min="5" max="5" width="16.109375" style="55" hidden="1" customWidth="1" outlineLevel="1"/>
    <col min="6" max="6" width="12.5546875" style="55" hidden="1" customWidth="1" outlineLevel="1"/>
    <col min="7" max="7" width="6.77734375" style="55" bestFit="1" customWidth="1" collapsed="1"/>
    <col min="8" max="8" width="6.77734375" style="55" bestFit="1" customWidth="1"/>
    <col min="9" max="9" width="9.33203125" style="55" customWidth="1"/>
    <col min="10" max="10" width="9.44140625" style="55" hidden="1" customWidth="1" outlineLevel="1"/>
    <col min="11" max="11" width="8.77734375" style="55" bestFit="1" customWidth="1" collapsed="1"/>
    <col min="12" max="12" width="11.6640625" style="55" bestFit="1" customWidth="1"/>
    <col min="13" max="13" width="9.88671875" style="55" bestFit="1" customWidth="1"/>
    <col min="14" max="15" width="8.5546875" style="55" hidden="1" customWidth="1" outlineLevel="1"/>
    <col min="16" max="16" width="10" style="55" hidden="1" customWidth="1" outlineLevel="1"/>
    <col min="17" max="17" width="11.6640625" style="55" hidden="1" customWidth="1" outlineLevel="1"/>
    <col min="18" max="18" width="9.88671875" style="55" bestFit="1" customWidth="1" collapsed="1"/>
    <col min="19" max="22" width="8.5546875" style="55" hidden="1" customWidth="1" outlineLevel="1"/>
    <col min="23" max="23" width="11.6640625" style="55" hidden="1" customWidth="1" outlineLevel="1"/>
    <col min="24" max="24" width="9.109375" style="55" hidden="1" customWidth="1" outlineLevel="1"/>
    <col min="25" max="25" width="8.5546875" style="55" hidden="1" customWidth="1" outlineLevel="1"/>
    <col min="26" max="26" width="9.88671875" style="55" hidden="1" customWidth="1" outlineLevel="1"/>
    <col min="27" max="27" width="8.5546875" style="55" hidden="1" customWidth="1" outlineLevel="1"/>
    <col min="28" max="28" width="9.109375" style="55" customWidth="1" collapsed="1"/>
    <col min="29" max="16384" width="8.88671875" style="55"/>
  </cols>
  <sheetData>
    <row r="1" spans="2:27" ht="18">
      <c r="B1" s="421" t="s">
        <v>44</v>
      </c>
      <c r="C1" s="421"/>
      <c r="D1" s="421"/>
      <c r="E1" s="421"/>
      <c r="F1" s="421"/>
    </row>
    <row r="3" spans="2:27" s="449" customFormat="1" ht="33.75" customHeight="1">
      <c r="B3" s="450" t="s">
        <v>437</v>
      </c>
      <c r="C3" s="451" t="s">
        <v>17</v>
      </c>
      <c r="D3" s="451" t="s">
        <v>18</v>
      </c>
      <c r="E3" s="451" t="s">
        <v>19</v>
      </c>
      <c r="F3" s="451" t="s">
        <v>20</v>
      </c>
      <c r="G3" s="452" t="s">
        <v>0</v>
      </c>
      <c r="H3" s="452" t="s">
        <v>21</v>
      </c>
      <c r="I3" s="453" t="s">
        <v>22</v>
      </c>
      <c r="J3" s="453" t="s">
        <v>23</v>
      </c>
      <c r="K3" s="452" t="s">
        <v>1</v>
      </c>
      <c r="L3" s="451" t="s">
        <v>24</v>
      </c>
      <c r="M3" s="452" t="s">
        <v>25</v>
      </c>
      <c r="N3" s="451" t="s">
        <v>26</v>
      </c>
      <c r="O3" s="451" t="s">
        <v>27</v>
      </c>
      <c r="P3" s="451" t="s">
        <v>2</v>
      </c>
      <c r="Q3" s="451" t="s">
        <v>28</v>
      </c>
      <c r="R3" s="451" t="s">
        <v>29</v>
      </c>
      <c r="S3" s="451" t="s">
        <v>30</v>
      </c>
      <c r="T3" s="451" t="s">
        <v>31</v>
      </c>
      <c r="U3" s="451" t="s">
        <v>45</v>
      </c>
      <c r="V3" s="451" t="s">
        <v>46</v>
      </c>
      <c r="W3" s="451" t="s">
        <v>47</v>
      </c>
      <c r="X3" s="452" t="s">
        <v>32</v>
      </c>
      <c r="Y3" s="454" t="s">
        <v>33</v>
      </c>
      <c r="Z3" s="454" t="s">
        <v>34</v>
      </c>
      <c r="AA3" s="451" t="s">
        <v>35</v>
      </c>
    </row>
    <row r="4" spans="2:27" s="438" customFormat="1" ht="15.6">
      <c r="B4" s="422"/>
      <c r="C4" s="423" t="s">
        <v>36</v>
      </c>
      <c r="D4" s="423" t="s">
        <v>37</v>
      </c>
      <c r="E4" s="423" t="s">
        <v>38</v>
      </c>
      <c r="F4" s="423" t="s">
        <v>40</v>
      </c>
      <c r="G4" s="424">
        <v>35</v>
      </c>
      <c r="H4" s="424">
        <v>25</v>
      </c>
      <c r="I4" s="425">
        <f>G4-H4</f>
        <v>10</v>
      </c>
      <c r="J4" s="426">
        <f>I4/G4</f>
        <v>0.2857142857142857</v>
      </c>
      <c r="K4" s="427">
        <v>100000</v>
      </c>
      <c r="L4" s="428">
        <f>I4*K4</f>
        <v>1000000</v>
      </c>
      <c r="M4" s="429">
        <v>800000</v>
      </c>
      <c r="N4" s="430">
        <f>M4/K4</f>
        <v>8</v>
      </c>
      <c r="O4" s="430">
        <f>H4+N4</f>
        <v>33</v>
      </c>
      <c r="P4" s="430">
        <f>G4*K4</f>
        <v>3500000</v>
      </c>
      <c r="Q4" s="431">
        <f>H4*K4+M4</f>
        <v>3300000</v>
      </c>
      <c r="R4" s="428">
        <f>L4-M4</f>
        <v>200000</v>
      </c>
      <c r="S4" s="432">
        <f>G4-O4</f>
        <v>2</v>
      </c>
      <c r="T4" s="433">
        <f>M4/(G4-H4)</f>
        <v>80000</v>
      </c>
      <c r="U4" s="434">
        <f>H4+M4/K4</f>
        <v>33</v>
      </c>
      <c r="V4" s="435">
        <f>G4-M4/K4</f>
        <v>27</v>
      </c>
      <c r="W4" s="428">
        <f>L4</f>
        <v>1000000</v>
      </c>
      <c r="X4" s="436">
        <v>0.25</v>
      </c>
      <c r="Y4" s="431">
        <f>IF(R4&gt;0,R4*X4,0)</f>
        <v>50000</v>
      </c>
      <c r="Z4" s="428">
        <f>R4-Y4</f>
        <v>150000</v>
      </c>
      <c r="AA4" s="437">
        <f>(R4-Y4)/L4</f>
        <v>0.15</v>
      </c>
    </row>
    <row r="5" spans="2:27" s="438" customFormat="1" ht="15.6">
      <c r="B5" s="422">
        <v>4</v>
      </c>
      <c r="C5" s="423" t="s">
        <v>36</v>
      </c>
      <c r="D5" s="423" t="s">
        <v>37</v>
      </c>
      <c r="E5" s="423" t="s">
        <v>38</v>
      </c>
      <c r="F5" s="423" t="s">
        <v>40</v>
      </c>
      <c r="G5" s="424"/>
      <c r="H5" s="424"/>
      <c r="I5" s="425">
        <f>G5-H5</f>
        <v>0</v>
      </c>
      <c r="J5" s="426" t="e">
        <f>I5/G5</f>
        <v>#DIV/0!</v>
      </c>
      <c r="K5" s="427"/>
      <c r="L5" s="428">
        <f>I5*K5</f>
        <v>0</v>
      </c>
      <c r="M5" s="429"/>
      <c r="N5" s="430" t="e">
        <f>M5/K5</f>
        <v>#DIV/0!</v>
      </c>
      <c r="O5" s="430" t="e">
        <f>H5+N5</f>
        <v>#DIV/0!</v>
      </c>
      <c r="P5" s="430">
        <f>G5*K5</f>
        <v>0</v>
      </c>
      <c r="Q5" s="431">
        <f>H5*K5+M5</f>
        <v>0</v>
      </c>
      <c r="R5" s="428">
        <f>L5-M5</f>
        <v>0</v>
      </c>
      <c r="S5" s="432" t="e">
        <f>G5-O5</f>
        <v>#DIV/0!</v>
      </c>
      <c r="T5" s="433" t="e">
        <f>M5/(G5-H5)</f>
        <v>#DIV/0!</v>
      </c>
      <c r="U5" s="434" t="e">
        <f>H5+M5/K5</f>
        <v>#DIV/0!</v>
      </c>
      <c r="V5" s="434" t="e">
        <f>G5-M5/K5</f>
        <v>#DIV/0!</v>
      </c>
      <c r="W5" s="439">
        <f>L5</f>
        <v>0</v>
      </c>
      <c r="X5" s="436">
        <v>0.25</v>
      </c>
      <c r="Y5" s="431">
        <f>IF(R5&gt;0,R5*X5,0)</f>
        <v>0</v>
      </c>
      <c r="Z5" s="428">
        <f>R5-Y5</f>
        <v>0</v>
      </c>
      <c r="AA5" s="437" t="e">
        <f>(R5-Y5)/L5</f>
        <v>#DIV/0!</v>
      </c>
    </row>
    <row r="6" spans="2:27" s="438" customFormat="1" ht="15.6">
      <c r="B6" s="422">
        <v>5</v>
      </c>
      <c r="C6" s="423" t="s">
        <v>36</v>
      </c>
      <c r="D6" s="423" t="s">
        <v>37</v>
      </c>
      <c r="E6" s="423" t="s">
        <v>38</v>
      </c>
      <c r="F6" s="423" t="s">
        <v>40</v>
      </c>
      <c r="G6" s="424"/>
      <c r="H6" s="424"/>
      <c r="I6" s="425">
        <f>G6-H6</f>
        <v>0</v>
      </c>
      <c r="J6" s="426" t="e">
        <f>I6/G6</f>
        <v>#DIV/0!</v>
      </c>
      <c r="K6" s="427"/>
      <c r="L6" s="428">
        <f>I6*K6</f>
        <v>0</v>
      </c>
      <c r="M6" s="429"/>
      <c r="N6" s="430" t="e">
        <f>M6/K6</f>
        <v>#DIV/0!</v>
      </c>
      <c r="O6" s="430" t="e">
        <f>H6+N6</f>
        <v>#DIV/0!</v>
      </c>
      <c r="P6" s="430">
        <f>G6*K6</f>
        <v>0</v>
      </c>
      <c r="Q6" s="431">
        <f>H6*K6+M6</f>
        <v>0</v>
      </c>
      <c r="R6" s="428">
        <f>L6-M6</f>
        <v>0</v>
      </c>
      <c r="S6" s="432" t="e">
        <f>G6-O6</f>
        <v>#DIV/0!</v>
      </c>
      <c r="T6" s="433" t="e">
        <f>M6/(G6-H6)</f>
        <v>#DIV/0!</v>
      </c>
      <c r="U6" s="434" t="e">
        <f>H6+M6/K6</f>
        <v>#DIV/0!</v>
      </c>
      <c r="V6" s="434" t="e">
        <f>G6-M6/K6</f>
        <v>#DIV/0!</v>
      </c>
      <c r="W6" s="428">
        <f>L6</f>
        <v>0</v>
      </c>
      <c r="X6" s="436">
        <v>0.25</v>
      </c>
      <c r="Y6" s="431">
        <f>IF(R6&gt;0,R6*X6,0)</f>
        <v>0</v>
      </c>
      <c r="Z6" s="428">
        <f>R6-Y6</f>
        <v>0</v>
      </c>
      <c r="AA6" s="437" t="e">
        <f>(R6-Y6)/L6</f>
        <v>#DIV/0!</v>
      </c>
    </row>
  </sheetData>
  <sheetProtection formatCells="0" formatColumns="0" formatRows="0" insertColumns="0" insertRows="0" sort="0" autoFilter="0" pivotTables="0"/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3"/>
  </sheetPr>
  <dimension ref="B1:M11"/>
  <sheetViews>
    <sheetView workbookViewId="0">
      <selection activeCell="R31" sqref="R31"/>
    </sheetView>
  </sheetViews>
  <sheetFormatPr defaultRowHeight="13.8"/>
  <cols>
    <col min="1" max="1" width="4" style="1" customWidth="1"/>
    <col min="2" max="2" width="6.109375" style="1" customWidth="1"/>
    <col min="3" max="3" width="5.109375" style="1" customWidth="1"/>
    <col min="4" max="4" width="8.33203125" style="1" customWidth="1"/>
    <col min="5" max="5" width="7.6640625" style="1" customWidth="1"/>
    <col min="6" max="6" width="6.109375" style="1" customWidth="1"/>
    <col min="7" max="9" width="8.88671875" style="1"/>
    <col min="10" max="10" width="8.33203125" style="1" customWidth="1"/>
    <col min="11" max="16384" width="8.88671875" style="1"/>
  </cols>
  <sheetData>
    <row r="1" spans="2:13" ht="14.4" thickBot="1"/>
    <row r="2" spans="2:13" ht="15" thickBot="1">
      <c r="B2" s="2" t="s">
        <v>262</v>
      </c>
      <c r="C2" s="3" t="s">
        <v>0</v>
      </c>
      <c r="D2" s="3" t="s">
        <v>1</v>
      </c>
      <c r="E2" s="3" t="s">
        <v>261</v>
      </c>
      <c r="F2" s="3" t="s">
        <v>21</v>
      </c>
      <c r="G2" s="3" t="s">
        <v>263</v>
      </c>
      <c r="H2" s="3" t="s">
        <v>260</v>
      </c>
      <c r="I2" s="3" t="s">
        <v>25</v>
      </c>
      <c r="J2" s="3" t="s">
        <v>259</v>
      </c>
      <c r="K2" s="3" t="s">
        <v>258</v>
      </c>
      <c r="L2" s="3" t="s">
        <v>257</v>
      </c>
      <c r="M2" s="3" t="s">
        <v>29</v>
      </c>
    </row>
    <row r="3" spans="2:13" ht="15" thickBot="1">
      <c r="B3" s="4" t="s">
        <v>4</v>
      </c>
      <c r="C3" s="5">
        <v>15</v>
      </c>
      <c r="D3" s="5">
        <v>1200</v>
      </c>
      <c r="E3" s="6">
        <f>C3*D3</f>
        <v>18000</v>
      </c>
      <c r="F3" s="5">
        <v>5</v>
      </c>
      <c r="G3" s="6">
        <f>D3*F3</f>
        <v>6000</v>
      </c>
      <c r="H3" s="7">
        <f>G3/G5</f>
        <v>0.2</v>
      </c>
      <c r="I3" s="6">
        <f>H3*I5</f>
        <v>1600</v>
      </c>
      <c r="J3" s="8">
        <f>I3/D3</f>
        <v>1.3333333333333333</v>
      </c>
      <c r="K3" s="9">
        <f>F3+J3</f>
        <v>6.333333333333333</v>
      </c>
      <c r="L3" s="8">
        <f>C3-K3</f>
        <v>8.6666666666666679</v>
      </c>
      <c r="M3" s="10">
        <f>L3*D3</f>
        <v>10400.000000000002</v>
      </c>
    </row>
    <row r="4" spans="2:13" ht="15" thickBot="1">
      <c r="B4" s="4" t="s">
        <v>5</v>
      </c>
      <c r="C4" s="5">
        <v>5</v>
      </c>
      <c r="D4" s="5">
        <v>6000</v>
      </c>
      <c r="E4" s="6">
        <f>C4*D4</f>
        <v>30000</v>
      </c>
      <c r="F4" s="5">
        <v>4</v>
      </c>
      <c r="G4" s="6">
        <f>D4*F4</f>
        <v>24000</v>
      </c>
      <c r="H4" s="7">
        <f>G4/G5</f>
        <v>0.8</v>
      </c>
      <c r="I4" s="6">
        <f>H4*I5</f>
        <v>6400</v>
      </c>
      <c r="J4" s="8">
        <f>I4/D4</f>
        <v>1.0666666666666667</v>
      </c>
      <c r="K4" s="9">
        <f>F4+J4</f>
        <v>5.0666666666666664</v>
      </c>
      <c r="L4" s="11">
        <f>C4-K4</f>
        <v>-6.666666666666643E-2</v>
      </c>
      <c r="M4" s="12">
        <f>L4*D4</f>
        <v>-399.99999999999858</v>
      </c>
    </row>
    <row r="5" spans="2:13" ht="15" thickBot="1">
      <c r="B5" s="4" t="s">
        <v>256</v>
      </c>
      <c r="C5" s="6"/>
      <c r="D5" s="6">
        <v>7200</v>
      </c>
      <c r="E5" s="6">
        <f>SUM(E3:E4)</f>
        <v>48000</v>
      </c>
      <c r="F5" s="6"/>
      <c r="G5" s="6">
        <f>SUM(G3:G4)</f>
        <v>30000</v>
      </c>
      <c r="H5" s="7">
        <v>1</v>
      </c>
      <c r="I5" s="5">
        <v>8000</v>
      </c>
      <c r="J5" s="6"/>
      <c r="K5" s="6"/>
      <c r="L5" s="13"/>
      <c r="M5" s="10">
        <f>SUM(M3:M4)</f>
        <v>10000.000000000004</v>
      </c>
    </row>
    <row r="6" spans="2:13" ht="14.4">
      <c r="B6" s="14"/>
      <c r="C6" s="15"/>
      <c r="D6" s="15"/>
      <c r="E6" s="15"/>
      <c r="F6" s="15"/>
      <c r="G6" s="15"/>
      <c r="H6" s="16"/>
      <c r="I6" s="17"/>
      <c r="J6" s="15"/>
      <c r="K6" s="15"/>
      <c r="L6" s="18"/>
      <c r="M6" s="19"/>
    </row>
    <row r="7" spans="2:13" ht="14.4" thickBot="1"/>
    <row r="8" spans="2:13" ht="29.4" thickBot="1">
      <c r="B8" s="2" t="s">
        <v>262</v>
      </c>
      <c r="C8" s="3" t="s">
        <v>0</v>
      </c>
      <c r="D8" s="3" t="s">
        <v>1</v>
      </c>
      <c r="E8" s="3" t="s">
        <v>261</v>
      </c>
      <c r="F8" s="3" t="s">
        <v>21</v>
      </c>
      <c r="G8" s="3" t="s">
        <v>24</v>
      </c>
      <c r="H8" s="3" t="s">
        <v>260</v>
      </c>
      <c r="I8" s="3" t="s">
        <v>25</v>
      </c>
      <c r="J8" s="3" t="s">
        <v>259</v>
      </c>
      <c r="K8" s="3" t="s">
        <v>258</v>
      </c>
      <c r="L8" s="3" t="s">
        <v>257</v>
      </c>
      <c r="M8" s="3" t="s">
        <v>29</v>
      </c>
    </row>
    <row r="9" spans="2:13" ht="15" thickBot="1">
      <c r="B9" s="4" t="s">
        <v>4</v>
      </c>
      <c r="C9" s="5">
        <f>C3</f>
        <v>15</v>
      </c>
      <c r="D9" s="5">
        <f>D3</f>
        <v>1200</v>
      </c>
      <c r="E9" s="6">
        <f>C9*D9</f>
        <v>18000</v>
      </c>
      <c r="F9" s="5">
        <f>F3</f>
        <v>5</v>
      </c>
      <c r="G9" s="6">
        <f>(C9-F9)*D9</f>
        <v>12000</v>
      </c>
      <c r="H9" s="7">
        <f>G9/G11</f>
        <v>0.66666666666666663</v>
      </c>
      <c r="I9" s="20">
        <f>H9*I11</f>
        <v>5333.333333333333</v>
      </c>
      <c r="J9" s="8">
        <f>I9/D9</f>
        <v>4.4444444444444438</v>
      </c>
      <c r="K9" s="9">
        <f>F9+J9</f>
        <v>9.4444444444444429</v>
      </c>
      <c r="L9" s="8">
        <f>C9-K9</f>
        <v>5.5555555555555571</v>
      </c>
      <c r="M9" s="10">
        <f>L9*D9</f>
        <v>6666.6666666666688</v>
      </c>
    </row>
    <row r="10" spans="2:13" ht="15" thickBot="1">
      <c r="B10" s="4" t="s">
        <v>5</v>
      </c>
      <c r="C10" s="5">
        <f>C4</f>
        <v>5</v>
      </c>
      <c r="D10" s="5">
        <f>D4</f>
        <v>6000</v>
      </c>
      <c r="E10" s="6">
        <f>C10*D10</f>
        <v>30000</v>
      </c>
      <c r="F10" s="5">
        <f>F4</f>
        <v>4</v>
      </c>
      <c r="G10" s="6">
        <f>(C10-F10)*D10</f>
        <v>6000</v>
      </c>
      <c r="H10" s="7">
        <f>G10/G11</f>
        <v>0.33333333333333331</v>
      </c>
      <c r="I10" s="20">
        <f>H10*I11</f>
        <v>2666.6666666666665</v>
      </c>
      <c r="J10" s="8">
        <f>I10/D10</f>
        <v>0.44444444444444442</v>
      </c>
      <c r="K10" s="9">
        <f>F10+J10</f>
        <v>4.4444444444444446</v>
      </c>
      <c r="L10" s="8">
        <f>C10-K10</f>
        <v>0.55555555555555536</v>
      </c>
      <c r="M10" s="10">
        <f>L10*D10</f>
        <v>3333.3333333333321</v>
      </c>
    </row>
    <row r="11" spans="2:13" ht="15" thickBot="1">
      <c r="B11" s="4" t="s">
        <v>256</v>
      </c>
      <c r="C11" s="6"/>
      <c r="D11" s="6">
        <v>7200</v>
      </c>
      <c r="E11" s="6">
        <f>SUM(E9:E10)</f>
        <v>48000</v>
      </c>
      <c r="F11" s="6"/>
      <c r="G11" s="6">
        <f>SUM(G9:G10)</f>
        <v>18000</v>
      </c>
      <c r="H11" s="7">
        <v>1</v>
      </c>
      <c r="I11" s="5">
        <v>8000</v>
      </c>
      <c r="J11" s="6"/>
      <c r="K11" s="6"/>
      <c r="L11" s="13"/>
      <c r="M11" s="10">
        <f>SUM(M9:M10)</f>
        <v>10000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54512-EF63-4781-AE28-D59F24DA162A}">
  <sheetPr>
    <tabColor indexed="15"/>
  </sheetPr>
  <dimension ref="B1:S39"/>
  <sheetViews>
    <sheetView zoomScaleNormal="100" workbookViewId="0">
      <selection activeCell="F27" sqref="F27"/>
    </sheetView>
  </sheetViews>
  <sheetFormatPr defaultColWidth="9.109375" defaultRowHeight="13.8"/>
  <cols>
    <col min="1" max="1" width="3.5546875" style="22" customWidth="1"/>
    <col min="2" max="2" width="40.33203125" style="22" customWidth="1"/>
    <col min="3" max="3" width="48.5546875" style="22" hidden="1" customWidth="1"/>
    <col min="4" max="4" width="7.33203125" style="22" customWidth="1"/>
    <col min="5" max="5" width="6.88671875" style="22" customWidth="1"/>
    <col min="6" max="6" width="34.33203125" style="22" customWidth="1"/>
    <col min="7" max="7" width="42.33203125" style="22" hidden="1" customWidth="1"/>
    <col min="8" max="8" width="10.88671875" style="22" customWidth="1"/>
    <col min="9" max="9" width="6.44140625" style="22" customWidth="1"/>
    <col min="10" max="10" width="3.33203125" style="22" customWidth="1"/>
    <col min="11" max="11" width="4.109375" style="197" hidden="1" customWidth="1"/>
    <col min="12" max="12" width="60.44140625" style="22" hidden="1" customWidth="1"/>
    <col min="13" max="13" width="62.5546875" style="22" hidden="1" customWidth="1"/>
    <col min="14" max="14" width="9.109375" style="22"/>
    <col min="15" max="15" width="2.88671875" style="22" customWidth="1"/>
    <col min="16" max="16" width="26.21875" style="22" bestFit="1" customWidth="1"/>
    <col min="17" max="17" width="10.44140625" style="22" bestFit="1" customWidth="1"/>
    <col min="18" max="18" width="5.33203125" style="22" bestFit="1" customWidth="1"/>
    <col min="19" max="19" width="11.88671875" style="22" customWidth="1"/>
    <col min="20" max="16384" width="9.109375" style="22"/>
  </cols>
  <sheetData>
    <row r="1" spans="2:19" s="188" customFormat="1">
      <c r="K1" s="189"/>
    </row>
    <row r="2" spans="2:19" ht="15.6">
      <c r="B2" s="190" t="s">
        <v>338</v>
      </c>
      <c r="C2" s="191" t="s">
        <v>339</v>
      </c>
      <c r="D2" s="192"/>
      <c r="E2" s="193"/>
      <c r="F2" s="194"/>
      <c r="G2" s="194"/>
      <c r="H2" s="195">
        <v>2010</v>
      </c>
      <c r="I2" s="196"/>
      <c r="L2" s="23"/>
      <c r="M2" s="23"/>
    </row>
    <row r="3" spans="2:19">
      <c r="B3" s="24"/>
      <c r="C3" s="36"/>
      <c r="D3" s="198" t="s">
        <v>132</v>
      </c>
      <c r="E3" s="36"/>
      <c r="F3" s="24"/>
      <c r="G3" s="24"/>
      <c r="H3" s="26" t="s">
        <v>132</v>
      </c>
      <c r="I3" s="25"/>
    </row>
    <row r="4" spans="2:19">
      <c r="B4" s="27"/>
      <c r="C4" s="38"/>
      <c r="D4" s="199" t="s">
        <v>133</v>
      </c>
      <c r="E4" s="30"/>
      <c r="F4" s="29"/>
      <c r="G4" s="29"/>
      <c r="H4" s="30" t="s">
        <v>134</v>
      </c>
      <c r="I4" s="28"/>
    </row>
    <row r="5" spans="2:19">
      <c r="B5" s="27" t="s">
        <v>340</v>
      </c>
      <c r="C5" s="38" t="s">
        <v>341</v>
      </c>
      <c r="D5" s="200">
        <f>35000/35</f>
        <v>1000</v>
      </c>
      <c r="E5" s="201"/>
      <c r="F5" s="27" t="s">
        <v>135</v>
      </c>
      <c r="G5" s="27" t="s">
        <v>342</v>
      </c>
      <c r="H5" s="202">
        <f>D5*H28</f>
        <v>3600000</v>
      </c>
      <c r="I5" s="31"/>
    </row>
    <row r="6" spans="2:19">
      <c r="B6" s="27" t="s">
        <v>343</v>
      </c>
      <c r="C6" s="38" t="s">
        <v>344</v>
      </c>
      <c r="D6" s="200">
        <f>D5/1.1*0.1</f>
        <v>90.909090909090907</v>
      </c>
      <c r="E6" s="201"/>
      <c r="F6" s="27" t="s">
        <v>136</v>
      </c>
      <c r="G6" s="27" t="s">
        <v>345</v>
      </c>
      <c r="H6" s="32">
        <f>(D26+D6+D7+D8)*H28+H26</f>
        <v>3410154.1501493505</v>
      </c>
      <c r="I6" s="31"/>
    </row>
    <row r="7" spans="2:19">
      <c r="B7" s="27" t="s">
        <v>346</v>
      </c>
      <c r="C7" s="38" t="s">
        <v>347</v>
      </c>
      <c r="D7" s="200">
        <f>114+3%*D5</f>
        <v>144</v>
      </c>
      <c r="E7" s="201"/>
      <c r="F7" s="33" t="s">
        <v>137</v>
      </c>
      <c r="G7" s="33" t="s">
        <v>348</v>
      </c>
      <c r="H7" s="34">
        <f>H5-H6</f>
        <v>189845.84985064948</v>
      </c>
      <c r="I7" s="31"/>
    </row>
    <row r="8" spans="2:19">
      <c r="B8" s="27" t="s">
        <v>349</v>
      </c>
      <c r="C8" s="38" t="s">
        <v>347</v>
      </c>
      <c r="D8" s="200">
        <v>0</v>
      </c>
      <c r="E8" s="201"/>
      <c r="F8" s="27" t="s">
        <v>139</v>
      </c>
      <c r="G8" s="27" t="s">
        <v>350</v>
      </c>
      <c r="H8" s="81">
        <f>H7/H5</f>
        <v>5.273495829184708E-2</v>
      </c>
      <c r="I8" s="31"/>
    </row>
    <row r="9" spans="2:19">
      <c r="B9" s="33" t="s">
        <v>138</v>
      </c>
      <c r="C9" s="203" t="s">
        <v>351</v>
      </c>
      <c r="D9" s="204">
        <f>D5-D7-D6-D8</f>
        <v>765.09090909090912</v>
      </c>
      <c r="E9" s="201"/>
      <c r="F9" s="205" t="s">
        <v>352</v>
      </c>
      <c r="G9" s="206"/>
      <c r="H9" s="207">
        <f>H7+H13-H15/5</f>
        <v>185845.84985064948</v>
      </c>
      <c r="I9" s="50"/>
    </row>
    <row r="10" spans="2:19">
      <c r="B10" s="24"/>
      <c r="C10" s="36"/>
      <c r="D10" s="208"/>
      <c r="E10" s="25"/>
      <c r="F10" s="38"/>
      <c r="G10" s="27"/>
      <c r="H10" s="38"/>
      <c r="I10" s="31"/>
    </row>
    <row r="11" spans="2:19">
      <c r="B11" s="27" t="s">
        <v>140</v>
      </c>
      <c r="C11" s="38" t="s">
        <v>353</v>
      </c>
      <c r="D11" s="37">
        <f>2.5*1000/35*1</f>
        <v>71.428571428571431</v>
      </c>
      <c r="E11" s="31"/>
      <c r="F11" s="38" t="s">
        <v>141</v>
      </c>
      <c r="G11" s="27" t="s">
        <v>354</v>
      </c>
      <c r="H11" s="200">
        <f>35000000*1.8/35</f>
        <v>1800000</v>
      </c>
      <c r="I11" s="31"/>
    </row>
    <row r="12" spans="2:19">
      <c r="B12" s="27" t="s">
        <v>355</v>
      </c>
      <c r="C12" s="38" t="s">
        <v>356</v>
      </c>
      <c r="D12" s="39">
        <v>6</v>
      </c>
      <c r="E12" s="31"/>
      <c r="F12" s="38" t="s">
        <v>142</v>
      </c>
      <c r="G12" s="27" t="s">
        <v>357</v>
      </c>
      <c r="H12" s="40">
        <v>7.7777777777777793E-2</v>
      </c>
      <c r="I12" s="31"/>
      <c r="K12" s="209" t="s">
        <v>358</v>
      </c>
      <c r="L12" s="52"/>
      <c r="M12" s="52"/>
      <c r="O12" s="210" t="s">
        <v>359</v>
      </c>
      <c r="P12" s="211" t="s">
        <v>151</v>
      </c>
      <c r="Q12" s="211" t="s">
        <v>360</v>
      </c>
      <c r="R12" s="212" t="s">
        <v>361</v>
      </c>
      <c r="S12" s="213" t="s">
        <v>362</v>
      </c>
    </row>
    <row r="13" spans="2:19">
      <c r="B13" s="27" t="s">
        <v>143</v>
      </c>
      <c r="C13" s="38" t="s">
        <v>363</v>
      </c>
      <c r="D13" s="202">
        <f>D11*D12</f>
        <v>428.57142857142856</v>
      </c>
      <c r="E13" s="214">
        <f>D13/$D$26</f>
        <v>0.69809968381161402</v>
      </c>
      <c r="F13" s="203" t="s">
        <v>144</v>
      </c>
      <c r="G13" s="33" t="s">
        <v>144</v>
      </c>
      <c r="H13" s="34">
        <f>H11*H12</f>
        <v>140000.00000000003</v>
      </c>
      <c r="I13" s="214">
        <f>H13/$H$24</f>
        <v>0.39503386060247447</v>
      </c>
      <c r="K13" s="215">
        <v>1</v>
      </c>
      <c r="L13" s="52" t="s">
        <v>364</v>
      </c>
      <c r="M13" s="52" t="s">
        <v>365</v>
      </c>
      <c r="O13" s="216">
        <v>1</v>
      </c>
      <c r="P13" s="217" t="s">
        <v>366</v>
      </c>
      <c r="Q13" s="218">
        <v>0</v>
      </c>
      <c r="R13" s="219">
        <v>0.1</v>
      </c>
      <c r="S13" s="220">
        <f t="shared" ref="S13:S18" si="0">Q13*R13</f>
        <v>0</v>
      </c>
    </row>
    <row r="14" spans="2:19">
      <c r="B14" s="27" t="s">
        <v>145</v>
      </c>
      <c r="C14" s="38" t="s">
        <v>367</v>
      </c>
      <c r="D14" s="200">
        <v>12</v>
      </c>
      <c r="E14" s="214">
        <f>D14/$D$26</f>
        <v>1.9546791146725195E-2</v>
      </c>
      <c r="F14" s="38"/>
      <c r="G14" s="27"/>
      <c r="H14" s="38"/>
      <c r="I14" s="214"/>
      <c r="K14" s="215">
        <v>2</v>
      </c>
      <c r="L14" s="52" t="s">
        <v>368</v>
      </c>
      <c r="M14" s="52" t="s">
        <v>369</v>
      </c>
      <c r="O14" s="216">
        <v>2</v>
      </c>
      <c r="P14" s="217" t="s">
        <v>370</v>
      </c>
      <c r="Q14" s="218">
        <v>250000</v>
      </c>
      <c r="R14" s="219">
        <v>0.05</v>
      </c>
      <c r="S14" s="220">
        <f t="shared" si="0"/>
        <v>12500</v>
      </c>
    </row>
    <row r="15" spans="2:19">
      <c r="B15" s="33" t="s">
        <v>67</v>
      </c>
      <c r="C15" s="203" t="s">
        <v>67</v>
      </c>
      <c r="D15" s="204">
        <f>D13+D14</f>
        <v>440.57142857142856</v>
      </c>
      <c r="E15" s="214">
        <f>D15/$D$26</f>
        <v>0.71764647495833922</v>
      </c>
      <c r="F15" s="38" t="s">
        <v>371</v>
      </c>
      <c r="G15" s="27" t="s">
        <v>372</v>
      </c>
      <c r="H15" s="200">
        <f>H11*40%</f>
        <v>720000</v>
      </c>
      <c r="I15" s="214"/>
      <c r="K15" s="215">
        <v>3</v>
      </c>
      <c r="L15" s="52" t="s">
        <v>373</v>
      </c>
      <c r="M15" s="52" t="s">
        <v>374</v>
      </c>
      <c r="O15" s="216">
        <v>3</v>
      </c>
      <c r="P15" s="217" t="s">
        <v>375</v>
      </c>
      <c r="Q15" s="218">
        <v>400000</v>
      </c>
      <c r="R15" s="219">
        <v>0.08</v>
      </c>
      <c r="S15" s="220">
        <f t="shared" si="0"/>
        <v>32000</v>
      </c>
    </row>
    <row r="16" spans="2:19">
      <c r="B16" s="27"/>
      <c r="C16" s="38"/>
      <c r="D16" s="202"/>
      <c r="E16" s="31"/>
      <c r="F16" s="38" t="s">
        <v>146</v>
      </c>
      <c r="G16" s="27" t="s">
        <v>376</v>
      </c>
      <c r="H16" s="40">
        <v>0.18666666666666668</v>
      </c>
      <c r="I16" s="31"/>
      <c r="K16" s="215">
        <v>4</v>
      </c>
      <c r="L16" s="52" t="s">
        <v>377</v>
      </c>
      <c r="M16" s="52" t="s">
        <v>377</v>
      </c>
      <c r="O16" s="216">
        <v>4</v>
      </c>
      <c r="P16" s="217" t="s">
        <v>378</v>
      </c>
      <c r="Q16" s="218">
        <v>850000</v>
      </c>
      <c r="R16" s="219">
        <v>0.08</v>
      </c>
      <c r="S16" s="220">
        <f t="shared" si="0"/>
        <v>68000</v>
      </c>
    </row>
    <row r="17" spans="2:19">
      <c r="B17" s="27" t="s">
        <v>147</v>
      </c>
      <c r="C17" s="38" t="s">
        <v>379</v>
      </c>
      <c r="D17" s="200">
        <f>(6*621+459+168)/35</f>
        <v>124.37142857142857</v>
      </c>
      <c r="E17" s="221"/>
      <c r="F17" s="203" t="s">
        <v>148</v>
      </c>
      <c r="G17" s="33" t="s">
        <v>148</v>
      </c>
      <c r="H17" s="34">
        <f>H15*H16</f>
        <v>134400</v>
      </c>
      <c r="I17" s="214">
        <f>H17/$H$24</f>
        <v>0.37923250617837539</v>
      </c>
      <c r="K17" s="215">
        <v>5</v>
      </c>
      <c r="L17" s="52" t="s">
        <v>380</v>
      </c>
      <c r="M17" s="52" t="s">
        <v>381</v>
      </c>
      <c r="O17" s="216">
        <v>5</v>
      </c>
      <c r="P17" s="217" t="s">
        <v>382</v>
      </c>
      <c r="Q17" s="218">
        <v>130000</v>
      </c>
      <c r="R17" s="219">
        <v>0.08</v>
      </c>
      <c r="S17" s="220">
        <f t="shared" si="0"/>
        <v>10400</v>
      </c>
    </row>
    <row r="18" spans="2:19">
      <c r="B18" s="27" t="s">
        <v>383</v>
      </c>
      <c r="C18" s="38" t="s">
        <v>384</v>
      </c>
      <c r="D18" s="222">
        <f>H34</f>
        <v>2</v>
      </c>
      <c r="E18" s="31"/>
      <c r="F18" s="38"/>
      <c r="G18" s="27"/>
      <c r="H18" s="38"/>
      <c r="I18" s="31"/>
      <c r="K18" s="215">
        <v>6</v>
      </c>
      <c r="L18" s="52" t="s">
        <v>385</v>
      </c>
      <c r="M18" s="52" t="s">
        <v>386</v>
      </c>
      <c r="O18" s="216">
        <v>6</v>
      </c>
      <c r="P18" s="217" t="s">
        <v>387</v>
      </c>
      <c r="Q18" s="218">
        <v>130000</v>
      </c>
      <c r="R18" s="219">
        <v>0.1</v>
      </c>
      <c r="S18" s="220">
        <f t="shared" si="0"/>
        <v>13000</v>
      </c>
    </row>
    <row r="19" spans="2:19">
      <c r="B19" s="33" t="s">
        <v>153</v>
      </c>
      <c r="C19" s="203" t="s">
        <v>153</v>
      </c>
      <c r="D19" s="204">
        <f>D17/D18</f>
        <v>62.185714285714283</v>
      </c>
      <c r="E19" s="214">
        <f>D19/$D$26</f>
        <v>0.10129426412106519</v>
      </c>
      <c r="F19" s="38" t="s">
        <v>154</v>
      </c>
      <c r="G19" s="54" t="s">
        <v>388</v>
      </c>
      <c r="H19" s="200">
        <v>15</v>
      </c>
      <c r="I19" s="214"/>
      <c r="K19" s="215">
        <v>7</v>
      </c>
      <c r="L19" s="52" t="s">
        <v>389</v>
      </c>
      <c r="M19" s="52" t="s">
        <v>390</v>
      </c>
      <c r="O19" s="216">
        <v>7</v>
      </c>
      <c r="P19" s="217" t="s">
        <v>391</v>
      </c>
      <c r="Q19" s="218">
        <v>40000</v>
      </c>
      <c r="R19" s="219">
        <f>S19/Q19</f>
        <v>0.10249999999999999</v>
      </c>
      <c r="S19" s="220">
        <v>4100</v>
      </c>
    </row>
    <row r="20" spans="2:19">
      <c r="B20" s="33"/>
      <c r="C20" s="203"/>
      <c r="D20" s="204"/>
      <c r="E20" s="214"/>
      <c r="F20" s="38" t="s">
        <v>156</v>
      </c>
      <c r="G20" s="27" t="s">
        <v>392</v>
      </c>
      <c r="H20" s="200">
        <f>3333.3333*H19</f>
        <v>49999.999499999998</v>
      </c>
      <c r="I20" s="214">
        <f>H20/$H$24</f>
        <v>0.14108352023290563</v>
      </c>
      <c r="K20" s="215">
        <v>8</v>
      </c>
      <c r="L20" s="52" t="s">
        <v>393</v>
      </c>
      <c r="M20" s="52" t="s">
        <v>394</v>
      </c>
      <c r="O20" s="216">
        <v>8</v>
      </c>
      <c r="P20" s="217"/>
      <c r="Q20" s="218"/>
      <c r="R20" s="218"/>
      <c r="S20" s="223"/>
    </row>
    <row r="21" spans="2:19">
      <c r="B21" s="27" t="s">
        <v>157</v>
      </c>
      <c r="C21" s="38" t="s">
        <v>395</v>
      </c>
      <c r="D21" s="51">
        <f>(3.2*51+600)/35</f>
        <v>21.805714285714288</v>
      </c>
      <c r="E21" s="31"/>
      <c r="F21" s="38" t="s">
        <v>158</v>
      </c>
      <c r="G21" s="27" t="s">
        <v>396</v>
      </c>
      <c r="H21" s="200">
        <f>700000/35</f>
        <v>20000</v>
      </c>
      <c r="I21" s="214">
        <f>H21/$H$24</f>
        <v>5.6433408657496339E-2</v>
      </c>
      <c r="K21" s="215">
        <v>9</v>
      </c>
      <c r="L21" s="52" t="s">
        <v>397</v>
      </c>
      <c r="M21" s="52" t="s">
        <v>398</v>
      </c>
      <c r="O21" s="224"/>
      <c r="P21" s="225" t="s">
        <v>7</v>
      </c>
      <c r="Q21" s="226">
        <f>SUM(Q13:Q20)</f>
        <v>1800000</v>
      </c>
      <c r="R21" s="227">
        <f>S21/Q21</f>
        <v>7.7777777777777779E-2</v>
      </c>
      <c r="S21" s="228">
        <f>SUM(S13:S20)</f>
        <v>140000</v>
      </c>
    </row>
    <row r="22" spans="2:19">
      <c r="B22" s="27" t="s">
        <v>159</v>
      </c>
      <c r="C22" s="38" t="s">
        <v>399</v>
      </c>
      <c r="D22" s="39">
        <f>1000/220</f>
        <v>4.5454545454545459</v>
      </c>
      <c r="E22" s="31"/>
      <c r="F22" s="203" t="s">
        <v>160</v>
      </c>
      <c r="G22" s="33" t="s">
        <v>160</v>
      </c>
      <c r="H22" s="204">
        <f>SUM(H20:H21)</f>
        <v>69999.999500000005</v>
      </c>
      <c r="I22" s="214">
        <f>H22/$H$24</f>
        <v>0.19751692889040198</v>
      </c>
      <c r="K22" s="215">
        <v>10</v>
      </c>
      <c r="L22" s="52" t="s">
        <v>400</v>
      </c>
      <c r="M22" s="52" t="s">
        <v>401</v>
      </c>
    </row>
    <row r="23" spans="2:19">
      <c r="B23" s="33" t="s">
        <v>161</v>
      </c>
      <c r="C23" s="203" t="s">
        <v>161</v>
      </c>
      <c r="D23" s="229">
        <f>D21*D22</f>
        <v>99.11688311688313</v>
      </c>
      <c r="E23" s="214">
        <f>D23/$D$26</f>
        <v>0.1614514177833406</v>
      </c>
      <c r="F23" s="203" t="s">
        <v>297</v>
      </c>
      <c r="G23" s="33" t="s">
        <v>148</v>
      </c>
      <c r="H23" s="200">
        <v>10000</v>
      </c>
      <c r="I23" s="214">
        <f>H23/$H$24</f>
        <v>2.821670432874817E-2</v>
      </c>
      <c r="K23" s="215">
        <v>11</v>
      </c>
      <c r="L23" s="52" t="s">
        <v>402</v>
      </c>
      <c r="M23" s="52" t="s">
        <v>403</v>
      </c>
    </row>
    <row r="24" spans="2:19">
      <c r="B24" s="27"/>
      <c r="C24" s="38"/>
      <c r="D24" s="202"/>
      <c r="E24" s="31"/>
      <c r="F24" s="203" t="s">
        <v>25</v>
      </c>
      <c r="G24" s="33" t="s">
        <v>404</v>
      </c>
      <c r="H24" s="204">
        <f>H13+H17+H22+H23</f>
        <v>354399.99950000003</v>
      </c>
      <c r="I24" s="214">
        <f>H24/$H$24</f>
        <v>1</v>
      </c>
      <c r="K24" s="215">
        <v>12</v>
      </c>
      <c r="L24" s="52" t="s">
        <v>405</v>
      </c>
      <c r="M24" s="52" t="s">
        <v>406</v>
      </c>
    </row>
    <row r="25" spans="2:19">
      <c r="B25" s="27" t="s">
        <v>407</v>
      </c>
      <c r="C25" s="38" t="s">
        <v>408</v>
      </c>
      <c r="D25" s="40">
        <v>0.02</v>
      </c>
      <c r="E25" s="31"/>
      <c r="F25" s="38" t="s">
        <v>162</v>
      </c>
      <c r="G25" s="27" t="s">
        <v>409</v>
      </c>
      <c r="H25" s="230">
        <v>1</v>
      </c>
      <c r="I25" s="31"/>
      <c r="K25" s="215">
        <v>13</v>
      </c>
      <c r="L25" s="52" t="s">
        <v>410</v>
      </c>
      <c r="M25" s="52" t="s">
        <v>411</v>
      </c>
      <c r="P25" s="231"/>
      <c r="R25" s="232"/>
    </row>
    <row r="26" spans="2:19">
      <c r="B26" s="35" t="s">
        <v>21</v>
      </c>
      <c r="C26" s="233" t="s">
        <v>412</v>
      </c>
      <c r="D26" s="234">
        <f>(D15+D19+D23)*(1+D25)</f>
        <v>613.91150649350652</v>
      </c>
      <c r="E26" s="235">
        <f>D26/$D$26</f>
        <v>1</v>
      </c>
      <c r="F26" s="203" t="s">
        <v>163</v>
      </c>
      <c r="G26" s="33" t="s">
        <v>413</v>
      </c>
      <c r="H26" s="34">
        <f>H24*H25</f>
        <v>354399.99950000003</v>
      </c>
      <c r="I26" s="214"/>
      <c r="K26" s="215">
        <v>14</v>
      </c>
      <c r="L26" s="52" t="s">
        <v>414</v>
      </c>
      <c r="M26" s="52" t="s">
        <v>415</v>
      </c>
    </row>
    <row r="27" spans="2:19">
      <c r="B27" s="24"/>
      <c r="C27" s="38"/>
      <c r="D27" s="202"/>
      <c r="E27" s="38"/>
      <c r="F27" s="24"/>
      <c r="G27" s="24"/>
      <c r="H27" s="36"/>
      <c r="I27" s="25"/>
      <c r="K27" s="215">
        <v>15</v>
      </c>
      <c r="L27" s="52" t="s">
        <v>416</v>
      </c>
      <c r="M27" s="52" t="s">
        <v>417</v>
      </c>
    </row>
    <row r="28" spans="2:19">
      <c r="B28" s="33" t="s">
        <v>293</v>
      </c>
      <c r="C28" s="203" t="s">
        <v>418</v>
      </c>
      <c r="D28" s="204">
        <f>D9-D26</f>
        <v>151.1794025974026</v>
      </c>
      <c r="E28" s="38"/>
      <c r="F28" s="27" t="s">
        <v>419</v>
      </c>
      <c r="G28" s="27" t="s">
        <v>420</v>
      </c>
      <c r="H28" s="200">
        <f>3600</f>
        <v>3600</v>
      </c>
      <c r="I28" s="31"/>
      <c r="M28" s="236"/>
    </row>
    <row r="29" spans="2:19">
      <c r="B29" s="27" t="s">
        <v>291</v>
      </c>
      <c r="C29" s="38" t="s">
        <v>421</v>
      </c>
      <c r="D29" s="237">
        <f>D28/D9</f>
        <v>0.19759665263443779</v>
      </c>
      <c r="E29" s="38"/>
      <c r="F29" s="33" t="s">
        <v>3</v>
      </c>
      <c r="G29" s="238" t="s">
        <v>422</v>
      </c>
      <c r="H29" s="204">
        <f>D28*H28</f>
        <v>544245.8493506494</v>
      </c>
      <c r="I29" s="31"/>
      <c r="M29" s="236"/>
    </row>
    <row r="30" spans="2:19">
      <c r="B30" s="58"/>
      <c r="C30" s="59"/>
      <c r="D30" s="239"/>
      <c r="E30" s="50"/>
      <c r="F30" s="35"/>
      <c r="G30" s="240"/>
      <c r="H30" s="234"/>
      <c r="I30" s="50"/>
      <c r="M30" s="236"/>
    </row>
    <row r="31" spans="2:19">
      <c r="B31" s="33" t="s">
        <v>21</v>
      </c>
      <c r="C31" s="203" t="s">
        <v>21</v>
      </c>
      <c r="D31" s="204">
        <f>D26</f>
        <v>613.91150649350652</v>
      </c>
      <c r="E31" s="214">
        <f>D31/D35</f>
        <v>0.86180441927223506</v>
      </c>
      <c r="F31" s="33" t="s">
        <v>423</v>
      </c>
      <c r="G31" s="203" t="s">
        <v>424</v>
      </c>
      <c r="H31" s="34">
        <f>H26/D28</f>
        <v>2344.2346868097025</v>
      </c>
      <c r="I31" s="31"/>
      <c r="M31" s="236"/>
    </row>
    <row r="32" spans="2:19">
      <c r="B32" s="55"/>
      <c r="C32" s="55"/>
      <c r="D32" s="52"/>
      <c r="E32" s="241"/>
      <c r="F32" s="27" t="s">
        <v>425</v>
      </c>
      <c r="G32" s="38" t="s">
        <v>426</v>
      </c>
      <c r="H32" s="32">
        <f>H31*D12</f>
        <v>14065.408120858214</v>
      </c>
      <c r="I32" s="31"/>
      <c r="M32" s="236"/>
    </row>
    <row r="33" spans="2:13">
      <c r="B33" s="33" t="s">
        <v>288</v>
      </c>
      <c r="C33" s="203" t="s">
        <v>427</v>
      </c>
      <c r="D33" s="204">
        <f>H26/H28</f>
        <v>98.444444305555564</v>
      </c>
      <c r="E33" s="214">
        <f>D33/$D$35</f>
        <v>0.138195580727765</v>
      </c>
      <c r="F33" s="27"/>
      <c r="G33" s="38"/>
      <c r="H33" s="38"/>
      <c r="I33" s="214"/>
      <c r="M33" s="236"/>
    </row>
    <row r="34" spans="2:13">
      <c r="B34" s="27"/>
      <c r="C34" s="38"/>
      <c r="D34" s="202"/>
      <c r="E34" s="38"/>
      <c r="F34" s="27" t="s">
        <v>164</v>
      </c>
      <c r="G34" s="27" t="s">
        <v>428</v>
      </c>
      <c r="H34" s="242">
        <v>2</v>
      </c>
      <c r="I34" s="31"/>
      <c r="M34" s="236"/>
    </row>
    <row r="35" spans="2:13">
      <c r="B35" s="33" t="s">
        <v>286</v>
      </c>
      <c r="C35" s="203" t="s">
        <v>429</v>
      </c>
      <c r="D35" s="204">
        <f>D26+D33</f>
        <v>712.35595079906204</v>
      </c>
      <c r="E35" s="201">
        <f>D35/$D$35</f>
        <v>1</v>
      </c>
      <c r="F35" s="27" t="s">
        <v>165</v>
      </c>
      <c r="G35" s="27" t="s">
        <v>430</v>
      </c>
      <c r="H35" s="200">
        <v>22</v>
      </c>
      <c r="I35" s="214"/>
      <c r="M35" s="236"/>
    </row>
    <row r="36" spans="2:13">
      <c r="B36" s="27"/>
      <c r="C36" s="38"/>
      <c r="D36" s="202"/>
      <c r="E36" s="38"/>
      <c r="F36" s="27" t="s">
        <v>166</v>
      </c>
      <c r="G36" s="27" t="s">
        <v>431</v>
      </c>
      <c r="H36" s="43">
        <v>100</v>
      </c>
      <c r="I36" s="31"/>
      <c r="M36" s="236"/>
    </row>
    <row r="37" spans="2:13">
      <c r="B37" s="33" t="s">
        <v>284</v>
      </c>
      <c r="C37" s="203" t="s">
        <v>432</v>
      </c>
      <c r="D37" s="204">
        <f>D9-D35</f>
        <v>52.734958291847079</v>
      </c>
      <c r="E37" s="201"/>
      <c r="F37" s="33" t="s">
        <v>167</v>
      </c>
      <c r="G37" s="33" t="s">
        <v>433</v>
      </c>
      <c r="H37" s="204">
        <f>H34*H35*H36</f>
        <v>4400</v>
      </c>
      <c r="I37" s="214"/>
      <c r="M37" s="236"/>
    </row>
    <row r="38" spans="2:13">
      <c r="B38" s="58"/>
      <c r="C38" s="59"/>
      <c r="D38" s="59"/>
      <c r="E38" s="59"/>
      <c r="F38" s="58" t="s">
        <v>168</v>
      </c>
      <c r="G38" s="58" t="s">
        <v>434</v>
      </c>
      <c r="H38" s="243">
        <f>H28/H37</f>
        <v>0.81818181818181823</v>
      </c>
      <c r="I38" s="50"/>
      <c r="M38" s="236"/>
    </row>
    <row r="39" spans="2:13">
      <c r="B39" s="60" t="s">
        <v>270</v>
      </c>
      <c r="C39" s="244" t="s">
        <v>435</v>
      </c>
      <c r="D39" s="59"/>
      <c r="E39" s="59"/>
      <c r="F39" s="59"/>
      <c r="G39" s="59"/>
      <c r="H39" s="59"/>
      <c r="I39" s="50"/>
      <c r="M39" s="236"/>
    </row>
  </sheetData>
  <conditionalFormatting sqref="D29">
    <cfRule type="cellIs" dxfId="18" priority="7" stopIfTrue="1" operator="lessThan">
      <formula>0.15</formula>
    </cfRule>
    <cfRule type="cellIs" dxfId="17" priority="8" stopIfTrue="1" operator="between">
      <formula>0.15</formula>
      <formula>0.3</formula>
    </cfRule>
    <cfRule type="cellIs" dxfId="16" priority="9" stopIfTrue="1" operator="greaterThanOrEqual">
      <formula>0.3</formula>
    </cfRule>
  </conditionalFormatting>
  <conditionalFormatting sqref="H8">
    <cfRule type="cellIs" dxfId="15" priority="4" stopIfTrue="1" operator="lessThan">
      <formula>0</formula>
    </cfRule>
    <cfRule type="cellIs" dxfId="14" priority="5" stopIfTrue="1" operator="between">
      <formula>0</formula>
      <formula>0.15</formula>
    </cfRule>
    <cfRule type="cellIs" dxfId="13" priority="6" stopIfTrue="1" operator="greaterThanOrEqual">
      <formula>0.15</formula>
    </cfRule>
  </conditionalFormatting>
  <conditionalFormatting sqref="H38">
    <cfRule type="cellIs" dxfId="12" priority="1" stopIfTrue="1" operator="lessThanOrEqual">
      <formula>0.55</formula>
    </cfRule>
    <cfRule type="cellIs" dxfId="11" priority="2" stopIfTrue="1" operator="between">
      <formula>0.55</formula>
      <formula>0.7499999999</formula>
    </cfRule>
    <cfRule type="cellIs" dxfId="10" priority="3" stopIfTrue="1" operator="greaterThanOrEqual">
      <formula>0.75</formula>
    </cfRule>
  </conditionalFormatting>
  <pageMargins left="0.75" right="0.75" top="1" bottom="1" header="0.5" footer="0.5"/>
  <pageSetup paperSize="9" orientation="portrait" verticalDpi="200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2DCD5-29C1-49E0-95B3-0367817C8AC9}">
  <sheetPr>
    <tabColor indexed="15"/>
  </sheetPr>
  <dimension ref="B2:V42"/>
  <sheetViews>
    <sheetView zoomScaleNormal="100" workbookViewId="0">
      <selection activeCell="Q37" sqref="Q37"/>
    </sheetView>
  </sheetViews>
  <sheetFormatPr defaultColWidth="9.109375" defaultRowHeight="13.8" outlineLevelCol="1"/>
  <cols>
    <col min="1" max="1" width="3" style="76" customWidth="1"/>
    <col min="2" max="2" width="41.109375" style="76" customWidth="1"/>
    <col min="3" max="3" width="9.88671875" style="76" customWidth="1"/>
    <col min="4" max="4" width="6.88671875" style="76" customWidth="1"/>
    <col min="5" max="5" width="39.33203125" style="76" customWidth="1"/>
    <col min="6" max="6" width="14.88671875" style="76" customWidth="1"/>
    <col min="7" max="7" width="6" style="76" bestFit="1" customWidth="1"/>
    <col min="8" max="9" width="3.5546875" style="76" customWidth="1"/>
    <col min="10" max="10" width="23.6640625" style="76" bestFit="1" customWidth="1"/>
    <col min="11" max="11" width="6.6640625" style="76" customWidth="1"/>
    <col min="12" max="12" width="9.5546875" style="76" bestFit="1" customWidth="1"/>
    <col min="13" max="13" width="7.6640625" style="76" hidden="1" customWidth="1" outlineLevel="1"/>
    <col min="14" max="14" width="7" style="76" hidden="1" customWidth="1" outlineLevel="1"/>
    <col min="15" max="15" width="11" style="76" hidden="1" customWidth="1" outlineLevel="1"/>
    <col min="16" max="16" width="10.6640625" style="76" hidden="1" customWidth="1" outlineLevel="1"/>
    <col min="17" max="17" width="13.44140625" style="76" customWidth="1" collapsed="1"/>
    <col min="18" max="18" width="10.88671875" style="76" customWidth="1"/>
    <col min="19" max="19" width="9.5546875" style="76" bestFit="1" customWidth="1"/>
    <col min="20" max="20" width="7.6640625" style="76" customWidth="1"/>
    <col min="21" max="21" width="2.33203125" style="76" customWidth="1"/>
    <col min="22" max="16384" width="9.109375" style="76"/>
  </cols>
  <sheetData>
    <row r="2" spans="2:22" ht="18">
      <c r="B2" s="187" t="s">
        <v>337</v>
      </c>
      <c r="C2" s="186"/>
      <c r="D2" s="185"/>
      <c r="E2" s="184"/>
      <c r="F2" s="183">
        <v>2018</v>
      </c>
      <c r="G2" s="182"/>
    </row>
    <row r="3" spans="2:22" ht="18">
      <c r="B3" s="181" t="s">
        <v>336</v>
      </c>
      <c r="C3" s="180"/>
      <c r="D3" s="178"/>
      <c r="E3" s="179"/>
      <c r="F3" s="178"/>
      <c r="G3" s="177"/>
    </row>
    <row r="4" spans="2:22" ht="14.4">
      <c r="B4" s="114"/>
      <c r="C4" s="176" t="s">
        <v>132</v>
      </c>
      <c r="D4" s="113"/>
      <c r="E4" s="114"/>
      <c r="F4" s="175" t="str">
        <f>C4</f>
        <v>USD</v>
      </c>
      <c r="G4" s="163"/>
    </row>
    <row r="5" spans="2:22" ht="14.4">
      <c r="B5" s="99"/>
      <c r="C5" s="174" t="s">
        <v>335</v>
      </c>
      <c r="D5" s="172"/>
      <c r="E5" s="173"/>
      <c r="F5" s="172" t="s">
        <v>134</v>
      </c>
      <c r="G5" s="165"/>
    </row>
    <row r="6" spans="2:22" ht="14.4">
      <c r="B6" s="99" t="s">
        <v>334</v>
      </c>
      <c r="C6" s="149">
        <f>210/400/0.7</f>
        <v>0.75000000000000011</v>
      </c>
      <c r="D6" s="167"/>
      <c r="E6" s="99" t="s">
        <v>261</v>
      </c>
      <c r="F6" s="171">
        <f>C6*F29</f>
        <v>378000</v>
      </c>
      <c r="G6" s="165"/>
    </row>
    <row r="7" spans="2:22" ht="14.4">
      <c r="B7" s="99" t="s">
        <v>333</v>
      </c>
      <c r="C7" s="149">
        <f>C6/1.05*0.05</f>
        <v>3.5714285714285719E-2</v>
      </c>
      <c r="D7" s="167"/>
      <c r="E7" s="99" t="s">
        <v>136</v>
      </c>
      <c r="F7" s="170">
        <f>(C27+C7+C8+C9)*F29+F27</f>
        <v>303802.51054545451</v>
      </c>
      <c r="G7" s="165"/>
    </row>
    <row r="8" spans="2:22" ht="14.4">
      <c r="B8" s="99" t="s">
        <v>332</v>
      </c>
      <c r="C8" s="149">
        <f>13/400</f>
        <v>3.2500000000000001E-2</v>
      </c>
      <c r="D8" s="167"/>
      <c r="E8" s="96" t="s">
        <v>137</v>
      </c>
      <c r="F8" s="169">
        <f>F6-F7</f>
        <v>74197.489454545488</v>
      </c>
      <c r="G8" s="165"/>
    </row>
    <row r="9" spans="2:22" ht="14.4">
      <c r="B9" s="99" t="s">
        <v>331</v>
      </c>
      <c r="C9" s="149">
        <v>0</v>
      </c>
      <c r="D9" s="167"/>
      <c r="E9" s="99" t="s">
        <v>139</v>
      </c>
      <c r="F9" s="168">
        <f>F8/F6</f>
        <v>0.19628965464165474</v>
      </c>
      <c r="G9" s="165"/>
    </row>
    <row r="10" spans="2:22" ht="14.4">
      <c r="B10" s="96" t="s">
        <v>138</v>
      </c>
      <c r="C10" s="111">
        <f>C6-C8-C7-C9</f>
        <v>0.68178571428571444</v>
      </c>
      <c r="D10" s="167"/>
      <c r="E10" s="99" t="s">
        <v>330</v>
      </c>
      <c r="F10" s="166">
        <f>F8+F14-F16/3</f>
        <v>66634.989454545488</v>
      </c>
      <c r="G10" s="165"/>
    </row>
    <row r="11" spans="2:22" ht="14.4">
      <c r="B11" s="114"/>
      <c r="C11" s="164"/>
      <c r="D11" s="163"/>
      <c r="E11" s="114"/>
      <c r="F11" s="113"/>
      <c r="G11" s="162"/>
    </row>
    <row r="12" spans="2:22" ht="14.4">
      <c r="B12" s="99" t="s">
        <v>329</v>
      </c>
      <c r="C12" s="149">
        <f>Q18</f>
        <v>0.29127272727272724</v>
      </c>
      <c r="D12" s="97"/>
      <c r="E12" s="99" t="s">
        <v>328</v>
      </c>
      <c r="F12" s="100">
        <f>33000000/400</f>
        <v>82500</v>
      </c>
      <c r="G12" s="155"/>
      <c r="J12" s="161" t="s">
        <v>75</v>
      </c>
      <c r="K12" s="160" t="s">
        <v>327</v>
      </c>
      <c r="L12" s="160" t="s">
        <v>107</v>
      </c>
      <c r="M12" s="160" t="s">
        <v>326</v>
      </c>
      <c r="N12" s="160" t="s">
        <v>325</v>
      </c>
      <c r="O12" s="160" t="s">
        <v>324</v>
      </c>
      <c r="P12" s="160" t="s">
        <v>323</v>
      </c>
      <c r="Q12" s="160" t="s">
        <v>322</v>
      </c>
      <c r="R12" s="160" t="s">
        <v>321</v>
      </c>
      <c r="S12" s="160" t="s">
        <v>320</v>
      </c>
      <c r="T12" s="160" t="s">
        <v>319</v>
      </c>
    </row>
    <row r="13" spans="2:22" ht="14.4">
      <c r="B13" s="99" t="s">
        <v>318</v>
      </c>
      <c r="C13" s="159">
        <f>L21</f>
        <v>-0.12</v>
      </c>
      <c r="D13" s="97"/>
      <c r="E13" s="99" t="s">
        <v>142</v>
      </c>
      <c r="F13" s="152">
        <v>7.4999999999999997E-2</v>
      </c>
      <c r="G13" s="158"/>
      <c r="J13" s="123" t="s">
        <v>317</v>
      </c>
      <c r="K13" s="136">
        <v>1</v>
      </c>
      <c r="L13" s="157">
        <v>50</v>
      </c>
      <c r="M13" s="136">
        <v>0.14000000000000001</v>
      </c>
      <c r="N13" s="135">
        <f>1-M13</f>
        <v>0.86</v>
      </c>
      <c r="O13" s="132">
        <f>M13*$L13</f>
        <v>7.0000000000000009</v>
      </c>
      <c r="P13" s="132">
        <f>N13*$L13</f>
        <v>43</v>
      </c>
      <c r="Q13" s="150">
        <f>9000/400/50</f>
        <v>0.45</v>
      </c>
      <c r="R13" s="124">
        <f>K13*Q13</f>
        <v>0.45</v>
      </c>
      <c r="S13" s="124">
        <f>Q13*L13</f>
        <v>22.5</v>
      </c>
      <c r="T13" s="125">
        <f>R13/$R$18</f>
        <v>0.93632958801498123</v>
      </c>
      <c r="V13" s="156"/>
    </row>
    <row r="14" spans="2:22" ht="14.4">
      <c r="B14" s="99" t="s">
        <v>316</v>
      </c>
      <c r="C14" s="153">
        <f>C12*(1-C13)</f>
        <v>0.32622545454545454</v>
      </c>
      <c r="D14" s="101">
        <f>C14/$C$27</f>
        <v>0.6852947175198858</v>
      </c>
      <c r="E14" s="96" t="s">
        <v>144</v>
      </c>
      <c r="F14" s="106">
        <f>F12*F13</f>
        <v>6187.5</v>
      </c>
      <c r="G14" s="101">
        <f>F14/$F$25</f>
        <v>0.16779661016949152</v>
      </c>
      <c r="J14" s="123" t="s">
        <v>315</v>
      </c>
      <c r="K14" s="154">
        <v>0.05</v>
      </c>
      <c r="L14" s="151">
        <f>$L$13*K14</f>
        <v>2.5</v>
      </c>
      <c r="M14" s="136">
        <v>0.08</v>
      </c>
      <c r="N14" s="135">
        <f>1-M14</f>
        <v>0.92</v>
      </c>
      <c r="O14" s="132">
        <f>M14*$L14</f>
        <v>0.2</v>
      </c>
      <c r="P14" s="132">
        <f>N14*$L14</f>
        <v>2.3000000000000003</v>
      </c>
      <c r="Q14" s="150">
        <v>0.3</v>
      </c>
      <c r="R14" s="124">
        <f>K14*Q14</f>
        <v>1.4999999999999999E-2</v>
      </c>
      <c r="S14" s="124">
        <f>Q14*L14</f>
        <v>0.75</v>
      </c>
      <c r="T14" s="125">
        <f>R14/$R$18</f>
        <v>3.1210986267166039E-2</v>
      </c>
    </row>
    <row r="15" spans="2:22" ht="14.4">
      <c r="B15" s="99" t="s">
        <v>314</v>
      </c>
      <c r="C15" s="149">
        <v>0</v>
      </c>
      <c r="D15" s="101">
        <f>C15/$C$27</f>
        <v>0</v>
      </c>
      <c r="E15" s="99"/>
      <c r="F15" s="98"/>
      <c r="G15" s="101"/>
      <c r="J15" s="123" t="s">
        <v>313</v>
      </c>
      <c r="K15" s="154">
        <v>0.03</v>
      </c>
      <c r="L15" s="151">
        <f>$L$13*K15</f>
        <v>1.5</v>
      </c>
      <c r="M15" s="136">
        <v>0.08</v>
      </c>
      <c r="N15" s="135">
        <f>1-M15</f>
        <v>0.92</v>
      </c>
      <c r="O15" s="132">
        <f>M15*$L15</f>
        <v>0.12</v>
      </c>
      <c r="P15" s="132">
        <f>N15*$L15</f>
        <v>1.3800000000000001</v>
      </c>
      <c r="Q15" s="150">
        <v>7.0000000000000007E-2</v>
      </c>
      <c r="R15" s="124">
        <f>K15*Q15</f>
        <v>2.1000000000000003E-3</v>
      </c>
      <c r="S15" s="124">
        <f>Q15*L15</f>
        <v>0.10500000000000001</v>
      </c>
      <c r="T15" s="125">
        <f>R15/$R$18</f>
        <v>4.3695380774032462E-3</v>
      </c>
    </row>
    <row r="16" spans="2:22" ht="14.4">
      <c r="B16" s="96" t="s">
        <v>67</v>
      </c>
      <c r="C16" s="111">
        <f>C14+C15</f>
        <v>0.32622545454545454</v>
      </c>
      <c r="D16" s="101">
        <f>C16/$C$27</f>
        <v>0.6852947175198858</v>
      </c>
      <c r="E16" s="99" t="s">
        <v>312</v>
      </c>
      <c r="F16" s="100">
        <f>50%*F12</f>
        <v>41250</v>
      </c>
      <c r="G16" s="155"/>
      <c r="J16" s="123" t="s">
        <v>311</v>
      </c>
      <c r="K16" s="154">
        <v>0.02</v>
      </c>
      <c r="L16" s="151">
        <f>$L$13*K16</f>
        <v>1</v>
      </c>
      <c r="M16" s="136">
        <v>0.08</v>
      </c>
      <c r="N16" s="135">
        <f>1-M16</f>
        <v>0.92</v>
      </c>
      <c r="O16" s="132">
        <f>M16*$L16</f>
        <v>0.08</v>
      </c>
      <c r="P16" s="132">
        <f>N16*$L16</f>
        <v>0.92</v>
      </c>
      <c r="Q16" s="150">
        <v>0.4</v>
      </c>
      <c r="R16" s="124">
        <f>K16*Q16</f>
        <v>8.0000000000000002E-3</v>
      </c>
      <c r="S16" s="124">
        <f>Q16*L16</f>
        <v>0.4</v>
      </c>
      <c r="T16" s="125">
        <f>R16/$R$18</f>
        <v>1.6645859342488554E-2</v>
      </c>
    </row>
    <row r="17" spans="2:20" ht="14.4">
      <c r="B17" s="99"/>
      <c r="C17" s="153"/>
      <c r="D17" s="97"/>
      <c r="E17" s="99" t="s">
        <v>146</v>
      </c>
      <c r="F17" s="152">
        <v>0.19</v>
      </c>
      <c r="G17" s="97"/>
      <c r="J17" s="123" t="s">
        <v>310</v>
      </c>
      <c r="K17" s="136">
        <v>0.55000000000000004</v>
      </c>
      <c r="L17" s="151">
        <f>$L$13*K17</f>
        <v>27.500000000000004</v>
      </c>
      <c r="M17" s="136">
        <v>1</v>
      </c>
      <c r="N17" s="135">
        <f>1-M17</f>
        <v>0</v>
      </c>
      <c r="O17" s="132">
        <f>M17*$L17</f>
        <v>27.500000000000004</v>
      </c>
      <c r="P17" s="132">
        <f>N17*$L17</f>
        <v>0</v>
      </c>
      <c r="Q17" s="150">
        <v>0.01</v>
      </c>
      <c r="R17" s="124">
        <f>K17*Q17</f>
        <v>5.5000000000000005E-3</v>
      </c>
      <c r="S17" s="124">
        <f>Q17*L17</f>
        <v>0.27500000000000002</v>
      </c>
      <c r="T17" s="125">
        <f>R17/$R$18</f>
        <v>1.1444028297960884E-2</v>
      </c>
    </row>
    <row r="18" spans="2:20" ht="14.4">
      <c r="B18" s="99" t="s">
        <v>309</v>
      </c>
      <c r="C18" s="149">
        <f>(3.6*90*2+40*35)/400</f>
        <v>5.12</v>
      </c>
      <c r="D18" s="148"/>
      <c r="E18" s="96" t="s">
        <v>148</v>
      </c>
      <c r="F18" s="106">
        <f>F16*F17</f>
        <v>7837.5</v>
      </c>
      <c r="G18" s="101">
        <f>F18/$F$25</f>
        <v>0.21254237288135594</v>
      </c>
      <c r="J18" s="147" t="s">
        <v>308</v>
      </c>
      <c r="K18" s="133">
        <f>SUM(K13:K17)</f>
        <v>1.6500000000000001</v>
      </c>
      <c r="L18" s="146">
        <f>SUM(L13:L17)</f>
        <v>82.5</v>
      </c>
      <c r="M18" s="133">
        <f>O18/L18</f>
        <v>0.42303030303030309</v>
      </c>
      <c r="N18" s="133">
        <f>P18/L18</f>
        <v>0.57696969696969702</v>
      </c>
      <c r="O18" s="145">
        <f>SUM(O13:O17)</f>
        <v>34.900000000000006</v>
      </c>
      <c r="P18" s="145">
        <f>SUM(P13:P17)</f>
        <v>47.6</v>
      </c>
      <c r="Q18" s="144">
        <f>R18/K18</f>
        <v>0.29127272727272724</v>
      </c>
      <c r="R18" s="144">
        <f>SUM(R13:R17)</f>
        <v>0.48060000000000003</v>
      </c>
      <c r="S18" s="144">
        <f>SUM(S13:S17)</f>
        <v>24.029999999999998</v>
      </c>
      <c r="T18" s="143">
        <f>R18/$R$18</f>
        <v>1</v>
      </c>
    </row>
    <row r="19" spans="2:20" ht="14.4">
      <c r="B19" s="99" t="s">
        <v>307</v>
      </c>
      <c r="C19" s="100">
        <f>F35*80%</f>
        <v>56</v>
      </c>
      <c r="D19" s="97"/>
      <c r="E19" s="99"/>
      <c r="F19" s="98"/>
      <c r="G19" s="97"/>
      <c r="J19" s="123" t="s">
        <v>306</v>
      </c>
      <c r="K19" s="123"/>
      <c r="L19" s="142">
        <v>85</v>
      </c>
      <c r="M19" s="123"/>
      <c r="N19" s="123"/>
      <c r="O19" s="123"/>
      <c r="P19" s="123"/>
      <c r="Q19" s="124"/>
      <c r="R19" s="124"/>
      <c r="S19" s="141"/>
      <c r="T19" s="123"/>
    </row>
    <row r="20" spans="2:20" ht="14.4">
      <c r="B20" s="96" t="s">
        <v>153</v>
      </c>
      <c r="C20" s="111">
        <f>C18/C19</f>
        <v>9.1428571428571428E-2</v>
      </c>
      <c r="D20" s="101">
        <f>C20/$C$27</f>
        <v>0.19206201158548611</v>
      </c>
      <c r="E20" s="99" t="s">
        <v>154</v>
      </c>
      <c r="F20" s="100">
        <v>10</v>
      </c>
      <c r="G20" s="101"/>
      <c r="J20" s="137" t="s">
        <v>305</v>
      </c>
      <c r="K20" s="137"/>
      <c r="L20" s="140">
        <f>L18/L19*1000</f>
        <v>970.58823529411768</v>
      </c>
      <c r="M20" s="137"/>
      <c r="N20" s="137"/>
      <c r="O20" s="137"/>
      <c r="P20" s="139"/>
      <c r="Q20" s="138"/>
      <c r="R20" s="138"/>
      <c r="S20" s="138"/>
      <c r="T20" s="137"/>
    </row>
    <row r="21" spans="2:20" ht="14.4">
      <c r="B21" s="96"/>
      <c r="C21" s="111"/>
      <c r="D21" s="101"/>
      <c r="E21" s="99" t="s">
        <v>304</v>
      </c>
      <c r="F21" s="100">
        <f>(50000*12*F20)/400</f>
        <v>15000</v>
      </c>
      <c r="G21" s="101">
        <f>F21/$F$25</f>
        <v>0.40677966101694918</v>
      </c>
      <c r="J21" s="123" t="s">
        <v>303</v>
      </c>
      <c r="K21" s="123"/>
      <c r="L21" s="136">
        <v>-0.12</v>
      </c>
      <c r="M21" s="135">
        <f>O21/O18*M18</f>
        <v>-0.12000000000000015</v>
      </c>
      <c r="N21" s="135"/>
      <c r="O21" s="132">
        <f>O22-O18</f>
        <v>-9.9000000000000128</v>
      </c>
      <c r="P21" s="132">
        <f>P22-P18</f>
        <v>0</v>
      </c>
      <c r="Q21" s="124"/>
      <c r="R21" s="124"/>
      <c r="S21" s="124"/>
      <c r="T21" s="123"/>
    </row>
    <row r="22" spans="2:20" ht="14.4">
      <c r="B22" s="99" t="s">
        <v>302</v>
      </c>
      <c r="C22" s="134">
        <f>(7+0+3)/400</f>
        <v>2.5000000000000001E-2</v>
      </c>
      <c r="D22" s="97"/>
      <c r="E22" s="99" t="s">
        <v>301</v>
      </c>
      <c r="F22" s="104">
        <f>8%*F12</f>
        <v>6600</v>
      </c>
      <c r="G22" s="101">
        <f>F22/$F$25</f>
        <v>0.17898305084745764</v>
      </c>
      <c r="J22" s="123" t="s">
        <v>300</v>
      </c>
      <c r="K22" s="123"/>
      <c r="L22" s="132">
        <f>L18*(1+L21)</f>
        <v>72.599999999999994</v>
      </c>
      <c r="M22" s="133">
        <f>O22/L22</f>
        <v>0.34435261707988973</v>
      </c>
      <c r="N22" s="133">
        <f>P22/L22</f>
        <v>0.65564738292011027</v>
      </c>
      <c r="O22" s="132">
        <f>L22-P22</f>
        <v>24.999999999999993</v>
      </c>
      <c r="P22" s="132">
        <f>P18</f>
        <v>47.6</v>
      </c>
      <c r="Q22" s="131">
        <f>Q18*(1-L21)</f>
        <v>0.32622545454545454</v>
      </c>
      <c r="R22" s="131">
        <f>S18/L22</f>
        <v>0.33099173553719008</v>
      </c>
      <c r="S22" s="124"/>
      <c r="T22" s="123"/>
    </row>
    <row r="23" spans="2:20" ht="14.4">
      <c r="B23" s="99" t="s">
        <v>299</v>
      </c>
      <c r="C23" s="130">
        <f>1/0.7</f>
        <v>1.4285714285714286</v>
      </c>
      <c r="D23" s="97"/>
      <c r="E23" s="96" t="s">
        <v>160</v>
      </c>
      <c r="F23" s="95">
        <f>SUM(F21:F22)</f>
        <v>21600</v>
      </c>
      <c r="G23" s="101">
        <f>F23/$F$25</f>
        <v>0.58576271186440676</v>
      </c>
      <c r="J23" s="123" t="s">
        <v>298</v>
      </c>
      <c r="K23" s="123"/>
      <c r="L23" s="129">
        <f>L22/L19*1000</f>
        <v>854.11764705882342</v>
      </c>
      <c r="M23" s="123"/>
      <c r="N23" s="123"/>
      <c r="O23" s="123"/>
      <c r="P23" s="123"/>
      <c r="Q23" s="124"/>
      <c r="R23" s="127">
        <f>Q22*L23/1000</f>
        <v>0.27863491764705878</v>
      </c>
      <c r="S23" s="124"/>
      <c r="T23" s="123"/>
    </row>
    <row r="24" spans="2:20" ht="14.4">
      <c r="B24" s="96" t="s">
        <v>161</v>
      </c>
      <c r="C24" s="111">
        <f>C22*C23</f>
        <v>3.5714285714285719E-2</v>
      </c>
      <c r="D24" s="101">
        <f>C24/$C$27</f>
        <v>7.5024223275580518E-2</v>
      </c>
      <c r="E24" s="96" t="s">
        <v>297</v>
      </c>
      <c r="F24" s="104">
        <f>500000/400</f>
        <v>1250</v>
      </c>
      <c r="G24" s="101">
        <f>F24/$F$25</f>
        <v>3.3898305084745763E-2</v>
      </c>
      <c r="J24" s="123" t="s">
        <v>296</v>
      </c>
      <c r="K24" s="123"/>
      <c r="L24" s="128">
        <v>852</v>
      </c>
      <c r="M24" s="123"/>
      <c r="N24" s="123"/>
      <c r="O24" s="123"/>
      <c r="P24" s="123"/>
      <c r="Q24" s="124"/>
      <c r="R24" s="127">
        <f>Q22*L24/1000</f>
        <v>0.27794408727272724</v>
      </c>
      <c r="S24" s="124"/>
      <c r="T24" s="123"/>
    </row>
    <row r="25" spans="2:20" ht="14.4">
      <c r="B25" s="96"/>
      <c r="C25" s="111"/>
      <c r="D25" s="101"/>
      <c r="E25" s="96" t="s">
        <v>25</v>
      </c>
      <c r="F25" s="95">
        <f>F14+F18+F23+F24</f>
        <v>36875</v>
      </c>
      <c r="G25" s="101">
        <f>F25/$F$25</f>
        <v>1</v>
      </c>
      <c r="J25" s="123" t="s">
        <v>295</v>
      </c>
      <c r="K25" s="123"/>
      <c r="L25" s="126">
        <f>L24-L23</f>
        <v>-2.1176470588234224</v>
      </c>
      <c r="M25" s="125">
        <f>L25/L23</f>
        <v>-2.4793388429750814E-3</v>
      </c>
      <c r="N25" s="123"/>
      <c r="O25" s="123"/>
      <c r="P25" s="123"/>
      <c r="Q25" s="124"/>
      <c r="R25" s="124"/>
      <c r="S25" s="124"/>
      <c r="T25" s="123"/>
    </row>
    <row r="26" spans="2:20" ht="14.4">
      <c r="B26" s="99" t="s">
        <v>294</v>
      </c>
      <c r="C26" s="122">
        <f>(C16+C20+C24)*D26</f>
        <v>2.2668415584415583E-2</v>
      </c>
      <c r="D26" s="121">
        <v>0.05</v>
      </c>
      <c r="E26" s="99" t="s">
        <v>162</v>
      </c>
      <c r="F26" s="120">
        <v>0.8</v>
      </c>
      <c r="G26" s="97"/>
    </row>
    <row r="27" spans="2:20" ht="14.4">
      <c r="B27" s="118" t="s">
        <v>21</v>
      </c>
      <c r="C27" s="119">
        <f>(C16+C20+C24+C26)</f>
        <v>0.47603672727272722</v>
      </c>
      <c r="D27" s="116">
        <f>C27/$C$27</f>
        <v>1</v>
      </c>
      <c r="E27" s="118" t="s">
        <v>163</v>
      </c>
      <c r="F27" s="117">
        <f>F25*F26</f>
        <v>29500</v>
      </c>
      <c r="G27" s="116"/>
    </row>
    <row r="28" spans="2:20" ht="14.4">
      <c r="B28" s="114"/>
      <c r="C28" s="115"/>
      <c r="D28" s="113"/>
      <c r="E28" s="114"/>
      <c r="F28" s="113"/>
      <c r="G28" s="112"/>
    </row>
    <row r="29" spans="2:20" ht="14.4">
      <c r="B29" s="96" t="s">
        <v>293</v>
      </c>
      <c r="C29" s="111">
        <f>C10-C27</f>
        <v>0.20574898701298722</v>
      </c>
      <c r="D29" s="98"/>
      <c r="E29" s="99" t="s">
        <v>292</v>
      </c>
      <c r="F29" s="104">
        <f>2000*360*0.7</f>
        <v>503999.99999999994</v>
      </c>
      <c r="G29" s="94"/>
    </row>
    <row r="30" spans="2:20" ht="14.4">
      <c r="B30" s="99" t="s">
        <v>291</v>
      </c>
      <c r="C30" s="110">
        <f>C29/C10</f>
        <v>0.30177955140721008</v>
      </c>
      <c r="D30" s="98"/>
      <c r="E30" s="96" t="s">
        <v>3</v>
      </c>
      <c r="F30" s="109">
        <f>C29*F29</f>
        <v>103697.48945454555</v>
      </c>
      <c r="G30" s="108"/>
    </row>
    <row r="31" spans="2:20" ht="14.4">
      <c r="B31" s="99"/>
      <c r="C31" s="107"/>
      <c r="D31" s="98"/>
      <c r="E31" s="96"/>
      <c r="F31" s="95"/>
      <c r="G31" s="97"/>
    </row>
    <row r="32" spans="2:20" ht="14.4">
      <c r="B32" s="99" t="s">
        <v>290</v>
      </c>
      <c r="C32" s="103">
        <f>C27</f>
        <v>0.47603672727272722</v>
      </c>
      <c r="D32" s="101">
        <f>C32/C35</f>
        <v>0.8905065506951283</v>
      </c>
      <c r="E32" s="96" t="s">
        <v>289</v>
      </c>
      <c r="F32" s="106">
        <f>F27/C29</f>
        <v>143378.59169210837</v>
      </c>
      <c r="G32" s="97"/>
    </row>
    <row r="33" spans="2:7" ht="14.4">
      <c r="B33" s="99" t="s">
        <v>288</v>
      </c>
      <c r="C33" s="103">
        <f>F27/F29</f>
        <v>5.8531746031746039E-2</v>
      </c>
      <c r="D33" s="101">
        <f>C33/$C$35</f>
        <v>0.10949344930487177</v>
      </c>
      <c r="E33" s="99" t="s">
        <v>287</v>
      </c>
      <c r="F33" s="105">
        <f>F32/360/0.7</f>
        <v>568.96266544487446</v>
      </c>
      <c r="G33" s="97"/>
    </row>
    <row r="34" spans="2:7" ht="14.4">
      <c r="B34" s="99"/>
      <c r="C34" s="103"/>
      <c r="D34" s="97"/>
      <c r="E34" s="99"/>
      <c r="F34" s="98"/>
      <c r="G34" s="97"/>
    </row>
    <row r="35" spans="2:7" ht="14.4">
      <c r="B35" s="96" t="s">
        <v>286</v>
      </c>
      <c r="C35" s="102">
        <f>C27+C33</f>
        <v>0.53456847330447321</v>
      </c>
      <c r="D35" s="101">
        <f>C35/$C$35</f>
        <v>1</v>
      </c>
      <c r="E35" s="99" t="s">
        <v>285</v>
      </c>
      <c r="F35" s="104">
        <f>100*0.7</f>
        <v>70</v>
      </c>
      <c r="G35" s="97"/>
    </row>
    <row r="36" spans="2:7" ht="14.4">
      <c r="B36" s="99"/>
      <c r="C36" s="103"/>
      <c r="D36" s="97"/>
      <c r="E36" s="99" t="s">
        <v>165</v>
      </c>
      <c r="F36" s="100">
        <v>23</v>
      </c>
      <c r="G36" s="97"/>
    </row>
    <row r="37" spans="2:7" ht="14.4">
      <c r="B37" s="96" t="s">
        <v>284</v>
      </c>
      <c r="C37" s="102">
        <f>C10-C35</f>
        <v>0.14721724098124123</v>
      </c>
      <c r="D37" s="101">
        <f>C37/C35</f>
        <v>0.27539454407254382</v>
      </c>
      <c r="E37" s="99" t="s">
        <v>283</v>
      </c>
      <c r="F37" s="100">
        <f>360</f>
        <v>360</v>
      </c>
      <c r="G37" s="97"/>
    </row>
    <row r="38" spans="2:7" ht="14.4">
      <c r="B38" s="99"/>
      <c r="C38" s="98"/>
      <c r="D38" s="97"/>
      <c r="E38" s="96" t="s">
        <v>167</v>
      </c>
      <c r="F38" s="95">
        <f>F35*F36*F37</f>
        <v>579600</v>
      </c>
      <c r="G38" s="94"/>
    </row>
    <row r="39" spans="2:7" ht="14.4">
      <c r="B39" s="92"/>
      <c r="C39" s="93"/>
      <c r="D39" s="90"/>
      <c r="E39" s="92" t="s">
        <v>168</v>
      </c>
      <c r="F39" s="91">
        <f>F29/F38</f>
        <v>0.86956521739130421</v>
      </c>
      <c r="G39" s="90"/>
    </row>
    <row r="40" spans="2:7" hidden="1">
      <c r="B40" s="89"/>
      <c r="C40" s="88"/>
      <c r="D40" s="88"/>
      <c r="E40" s="87" t="s">
        <v>282</v>
      </c>
      <c r="F40" s="86">
        <f>F8/F12</f>
        <v>0.89936350853994529</v>
      </c>
      <c r="G40" s="85"/>
    </row>
    <row r="41" spans="2:7" hidden="1">
      <c r="B41" s="84"/>
      <c r="C41" s="83"/>
      <c r="D41" s="83"/>
      <c r="E41" s="82" t="s">
        <v>281</v>
      </c>
      <c r="F41" s="81">
        <f>F8/(F12-F16)</f>
        <v>1.7987270170798906</v>
      </c>
      <c r="G41" s="80"/>
    </row>
    <row r="42" spans="2:7">
      <c r="B42" s="79" t="s">
        <v>270</v>
      </c>
      <c r="C42" s="78"/>
      <c r="D42" s="78"/>
      <c r="E42" s="78"/>
      <c r="F42" s="78"/>
      <c r="G42" s="77"/>
    </row>
  </sheetData>
  <conditionalFormatting sqref="F39">
    <cfRule type="cellIs" dxfId="9" priority="8" stopIfTrue="1" operator="lessThanOrEqual">
      <formula>0.55</formula>
    </cfRule>
    <cfRule type="cellIs" dxfId="8" priority="9" stopIfTrue="1" operator="between">
      <formula>0.55</formula>
      <formula>0.7499999999</formula>
    </cfRule>
    <cfRule type="cellIs" dxfId="7" priority="10" stopIfTrue="1" operator="greaterThanOrEqual">
      <formula>0.75</formula>
    </cfRule>
  </conditionalFormatting>
  <conditionalFormatting sqref="F9">
    <cfRule type="cellIs" dxfId="6" priority="5" stopIfTrue="1" operator="lessThan">
      <formula>0</formula>
    </cfRule>
    <cfRule type="cellIs" dxfId="5" priority="6" stopIfTrue="1" operator="between">
      <formula>0</formula>
      <formula>0.15</formula>
    </cfRule>
    <cfRule type="cellIs" dxfId="4" priority="7" stopIfTrue="1" operator="greaterThanOrEqual">
      <formula>0.15</formula>
    </cfRule>
  </conditionalFormatting>
  <conditionalFormatting sqref="L25">
    <cfRule type="cellIs" dxfId="3" priority="4" operator="notBetween">
      <formula>-3</formula>
      <formula>3</formula>
    </cfRule>
  </conditionalFormatting>
  <conditionalFormatting sqref="C30">
    <cfRule type="cellIs" dxfId="2" priority="1" stopIfTrue="1" operator="lessThan">
      <formula>0.15</formula>
    </cfRule>
    <cfRule type="cellIs" dxfId="1" priority="2" stopIfTrue="1" operator="between">
      <formula>0.15</formula>
      <formula>0.3</formula>
    </cfRule>
    <cfRule type="cellIs" dxfId="0" priority="3" stopIfTrue="1" operator="greaterThanOrEqual">
      <formula>0.3</formula>
    </cfRule>
  </conditionalFormatting>
  <pageMargins left="0.75" right="0.75" top="1" bottom="1" header="0.5" footer="0.5"/>
  <pageSetup paperSize="9" orientation="portrait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2"/>
  </sheetPr>
  <dimension ref="B2:M23"/>
  <sheetViews>
    <sheetView workbookViewId="0">
      <selection activeCell="M37" sqref="M37"/>
    </sheetView>
  </sheetViews>
  <sheetFormatPr defaultColWidth="9.109375" defaultRowHeight="13.8" outlineLevelCol="1"/>
  <cols>
    <col min="1" max="1" width="2.33203125" style="246" customWidth="1"/>
    <col min="2" max="2" width="4.109375" style="246" customWidth="1"/>
    <col min="3" max="3" width="26.6640625" style="246" customWidth="1"/>
    <col min="4" max="4" width="5.33203125" style="246" customWidth="1"/>
    <col min="5" max="5" width="10.6640625" style="246" customWidth="1"/>
    <col min="6" max="7" width="9.33203125" style="246" customWidth="1"/>
    <col min="8" max="9" width="9.109375" style="246"/>
    <col min="10" max="10" width="10.33203125" style="246" bestFit="1" customWidth="1"/>
    <col min="11" max="11" width="0" style="246" hidden="1" customWidth="1" outlineLevel="1"/>
    <col min="12" max="12" width="8.88671875" style="246" hidden="1" customWidth="1" outlineLevel="1"/>
    <col min="13" max="13" width="2" style="246" customWidth="1" collapsed="1"/>
    <col min="14" max="16384" width="9.109375" style="246"/>
  </cols>
  <sheetData>
    <row r="2" spans="2:12" ht="15.6">
      <c r="B2" s="21" t="s">
        <v>230</v>
      </c>
      <c r="C2" s="245"/>
      <c r="D2" s="245"/>
      <c r="E2" s="245"/>
      <c r="F2" s="245"/>
      <c r="G2" s="245"/>
      <c r="H2" s="245"/>
      <c r="I2" s="245"/>
      <c r="J2" s="286" t="s">
        <v>228</v>
      </c>
      <c r="K2" s="245"/>
      <c r="L2" s="245"/>
    </row>
    <row r="3" spans="2:12" ht="39" customHeight="1">
      <c r="B3" s="247" t="s">
        <v>69</v>
      </c>
      <c r="C3" s="248" t="s">
        <v>53</v>
      </c>
      <c r="D3" s="249" t="s">
        <v>20</v>
      </c>
      <c r="E3" s="249" t="s">
        <v>96</v>
      </c>
      <c r="F3" s="249" t="s">
        <v>72</v>
      </c>
      <c r="G3" s="249" t="s">
        <v>73</v>
      </c>
      <c r="H3" s="249" t="s">
        <v>79</v>
      </c>
      <c r="I3" s="249" t="s">
        <v>80</v>
      </c>
      <c r="J3" s="250" t="s">
        <v>67</v>
      </c>
      <c r="K3" s="251" t="s">
        <v>68</v>
      </c>
      <c r="L3" s="252" t="s">
        <v>70</v>
      </c>
    </row>
    <row r="4" spans="2:12">
      <c r="B4" s="55">
        <v>1</v>
      </c>
      <c r="C4" s="55" t="s">
        <v>77</v>
      </c>
      <c r="D4" s="253" t="s">
        <v>65</v>
      </c>
      <c r="E4" s="254">
        <v>400</v>
      </c>
      <c r="F4" s="255">
        <v>0.15</v>
      </c>
      <c r="G4" s="256">
        <f>E4/(1-F4)</f>
        <v>470.58823529411768</v>
      </c>
      <c r="H4" s="257">
        <v>0.75</v>
      </c>
      <c r="I4" s="258">
        <f>$I$21*H4</f>
        <v>15</v>
      </c>
      <c r="J4" s="259">
        <f>I4*G4</f>
        <v>7058.8235294117649</v>
      </c>
      <c r="K4" s="260">
        <f>J4/$J$21</f>
        <v>0.35086127272215478</v>
      </c>
      <c r="L4" s="253">
        <v>2</v>
      </c>
    </row>
    <row r="5" spans="2:12">
      <c r="B5" s="55">
        <v>2</v>
      </c>
      <c r="C5" s="55" t="s">
        <v>78</v>
      </c>
      <c r="D5" s="253" t="s">
        <v>65</v>
      </c>
      <c r="E5" s="254">
        <v>900</v>
      </c>
      <c r="F5" s="255">
        <v>0.12</v>
      </c>
      <c r="G5" s="256">
        <f>E5/(1-F5)</f>
        <v>1022.7272727272727</v>
      </c>
      <c r="H5" s="257">
        <v>0.25</v>
      </c>
      <c r="I5" s="258">
        <f>$I$21*H5</f>
        <v>5</v>
      </c>
      <c r="J5" s="259">
        <f>I5*G5</f>
        <v>5113.636363636364</v>
      </c>
      <c r="K5" s="260">
        <f>J5/$J$21</f>
        <v>0.25417506972769738</v>
      </c>
      <c r="L5" s="253">
        <v>3</v>
      </c>
    </row>
    <row r="6" spans="2:12" hidden="1">
      <c r="B6" s="55">
        <v>3</v>
      </c>
      <c r="C6" s="55"/>
      <c r="D6" s="253" t="s">
        <v>65</v>
      </c>
      <c r="E6" s="254"/>
      <c r="F6" s="255"/>
      <c r="G6" s="256">
        <f>E6/(1-F6)</f>
        <v>0</v>
      </c>
      <c r="H6" s="257"/>
      <c r="I6" s="258">
        <f>$I$21*H6</f>
        <v>0</v>
      </c>
      <c r="J6" s="259">
        <f>I6*G6</f>
        <v>0</v>
      </c>
      <c r="K6" s="260">
        <f>J6/$J$21</f>
        <v>0</v>
      </c>
      <c r="L6" s="253"/>
    </row>
    <row r="7" spans="2:12" hidden="1">
      <c r="B7" s="55">
        <v>4</v>
      </c>
      <c r="C7" s="55"/>
      <c r="D7" s="253" t="s">
        <v>65</v>
      </c>
      <c r="E7" s="254"/>
      <c r="F7" s="255"/>
      <c r="G7" s="256">
        <f>E7/(1-F7)</f>
        <v>0</v>
      </c>
      <c r="H7" s="257"/>
      <c r="I7" s="258">
        <f>$I$21*H7</f>
        <v>0</v>
      </c>
      <c r="J7" s="259">
        <f>I7*G7</f>
        <v>0</v>
      </c>
      <c r="K7" s="260">
        <f>J7/$J$21</f>
        <v>0</v>
      </c>
      <c r="L7" s="253"/>
    </row>
    <row r="8" spans="2:12">
      <c r="B8" s="261"/>
      <c r="C8" s="233" t="s">
        <v>74</v>
      </c>
      <c r="D8" s="262"/>
      <c r="E8" s="263"/>
      <c r="F8" s="263"/>
      <c r="G8" s="263"/>
      <c r="H8" s="264"/>
      <c r="I8" s="265">
        <f>SUM(I4:I7)</f>
        <v>20</v>
      </c>
      <c r="J8" s="266">
        <f>SUM(J4:J7)</f>
        <v>12172.45989304813</v>
      </c>
      <c r="K8" s="267">
        <f>J8/$J$21</f>
        <v>0.60503634244985227</v>
      </c>
      <c r="L8" s="262"/>
    </row>
    <row r="9" spans="2:12">
      <c r="B9" s="55"/>
      <c r="C9" s="55"/>
      <c r="D9" s="253"/>
      <c r="E9" s="254"/>
      <c r="F9" s="254"/>
      <c r="G9" s="254"/>
      <c r="H9" s="257"/>
      <c r="I9" s="258"/>
      <c r="J9" s="259"/>
      <c r="K9" s="268"/>
      <c r="L9" s="253"/>
    </row>
    <row r="10" spans="2:12">
      <c r="B10" s="55">
        <v>5</v>
      </c>
      <c r="C10" s="55" t="s">
        <v>81</v>
      </c>
      <c r="D10" s="253" t="s">
        <v>82</v>
      </c>
      <c r="E10" s="254">
        <v>900.4</v>
      </c>
      <c r="F10" s="254"/>
      <c r="G10" s="254"/>
      <c r="H10" s="257"/>
      <c r="I10" s="284">
        <v>8</v>
      </c>
      <c r="J10" s="259">
        <f t="shared" ref="J10:J18" si="0">I10*E10</f>
        <v>7203.2</v>
      </c>
      <c r="K10" s="260">
        <f t="shared" ref="K10:K19" si="1">J10/$J$21</f>
        <v>0.35803755528689857</v>
      </c>
      <c r="L10" s="253">
        <v>1</v>
      </c>
    </row>
    <row r="11" spans="2:12">
      <c r="B11" s="55">
        <v>6</v>
      </c>
      <c r="C11" s="55" t="s">
        <v>83</v>
      </c>
      <c r="D11" s="253" t="s">
        <v>90</v>
      </c>
      <c r="E11" s="254">
        <v>0.5</v>
      </c>
      <c r="F11" s="254"/>
      <c r="G11" s="254"/>
      <c r="H11" s="257"/>
      <c r="I11" s="284">
        <v>45</v>
      </c>
      <c r="J11" s="259">
        <f t="shared" si="0"/>
        <v>22.5</v>
      </c>
      <c r="K11" s="260">
        <f t="shared" si="1"/>
        <v>1.1183703068018685E-3</v>
      </c>
      <c r="L11" s="253"/>
    </row>
    <row r="12" spans="2:12">
      <c r="B12" s="55">
        <v>7</v>
      </c>
      <c r="C12" s="55" t="s">
        <v>84</v>
      </c>
      <c r="D12" s="253" t="s">
        <v>90</v>
      </c>
      <c r="E12" s="254">
        <v>1.8</v>
      </c>
      <c r="F12" s="254"/>
      <c r="G12" s="254"/>
      <c r="H12" s="257"/>
      <c r="I12" s="284">
        <v>8</v>
      </c>
      <c r="J12" s="259">
        <f t="shared" si="0"/>
        <v>14.4</v>
      </c>
      <c r="K12" s="260">
        <f t="shared" si="1"/>
        <v>7.1575699635319581E-4</v>
      </c>
      <c r="L12" s="253"/>
    </row>
    <row r="13" spans="2:12">
      <c r="B13" s="55">
        <v>8</v>
      </c>
      <c r="C13" s="55" t="s">
        <v>85</v>
      </c>
      <c r="D13" s="253" t="s">
        <v>65</v>
      </c>
      <c r="E13" s="254">
        <v>180</v>
      </c>
      <c r="F13" s="254"/>
      <c r="G13" s="254"/>
      <c r="H13" s="257"/>
      <c r="I13" s="284">
        <v>0.1</v>
      </c>
      <c r="J13" s="259">
        <f t="shared" si="0"/>
        <v>18</v>
      </c>
      <c r="K13" s="260">
        <f t="shared" si="1"/>
        <v>8.9469624544149477E-4</v>
      </c>
      <c r="L13" s="253"/>
    </row>
    <row r="14" spans="2:12">
      <c r="B14" s="55">
        <v>9</v>
      </c>
      <c r="C14" s="55" t="s">
        <v>86</v>
      </c>
      <c r="D14" s="253" t="s">
        <v>91</v>
      </c>
      <c r="E14" s="254">
        <v>20</v>
      </c>
      <c r="F14" s="254"/>
      <c r="G14" s="254"/>
      <c r="H14" s="257"/>
      <c r="I14" s="284">
        <v>8</v>
      </c>
      <c r="J14" s="259">
        <f t="shared" si="0"/>
        <v>160</v>
      </c>
      <c r="K14" s="260">
        <f t="shared" si="1"/>
        <v>7.952855515035509E-3</v>
      </c>
      <c r="L14" s="253"/>
    </row>
    <row r="15" spans="2:12">
      <c r="B15" s="55">
        <v>10</v>
      </c>
      <c r="C15" s="55" t="s">
        <v>87</v>
      </c>
      <c r="D15" s="253" t="s">
        <v>90</v>
      </c>
      <c r="E15" s="254">
        <v>34</v>
      </c>
      <c r="F15" s="254"/>
      <c r="G15" s="254"/>
      <c r="H15" s="257"/>
      <c r="I15" s="284">
        <v>15</v>
      </c>
      <c r="J15" s="259">
        <f t="shared" si="0"/>
        <v>510</v>
      </c>
      <c r="K15" s="260">
        <f t="shared" si="1"/>
        <v>2.5349726954175682E-2</v>
      </c>
      <c r="L15" s="253"/>
    </row>
    <row r="16" spans="2:12">
      <c r="B16" s="55">
        <v>11</v>
      </c>
      <c r="C16" s="55" t="s">
        <v>88</v>
      </c>
      <c r="D16" s="253" t="s">
        <v>65</v>
      </c>
      <c r="E16" s="254">
        <v>60</v>
      </c>
      <c r="F16" s="254"/>
      <c r="G16" s="254"/>
      <c r="H16" s="257"/>
      <c r="I16" s="284">
        <v>0.3</v>
      </c>
      <c r="J16" s="259">
        <f t="shared" si="0"/>
        <v>18</v>
      </c>
      <c r="K16" s="260">
        <f t="shared" si="1"/>
        <v>8.9469624544149477E-4</v>
      </c>
      <c r="L16" s="253"/>
    </row>
    <row r="17" spans="2:12" hidden="1">
      <c r="B17" s="55">
        <v>12</v>
      </c>
      <c r="C17" s="55"/>
      <c r="D17" s="253" t="s">
        <v>65</v>
      </c>
      <c r="E17" s="254"/>
      <c r="F17" s="254"/>
      <c r="G17" s="254"/>
      <c r="H17" s="257"/>
      <c r="I17" s="284">
        <f>$I$21*H17</f>
        <v>0</v>
      </c>
      <c r="J17" s="259">
        <f t="shared" si="0"/>
        <v>0</v>
      </c>
      <c r="K17" s="260">
        <f t="shared" si="1"/>
        <v>0</v>
      </c>
      <c r="L17" s="253"/>
    </row>
    <row r="18" spans="2:12" hidden="1">
      <c r="B18" s="55">
        <v>13</v>
      </c>
      <c r="C18" s="55"/>
      <c r="D18" s="253" t="s">
        <v>65</v>
      </c>
      <c r="E18" s="254"/>
      <c r="F18" s="254"/>
      <c r="G18" s="254"/>
      <c r="H18" s="257"/>
      <c r="I18" s="284">
        <f>$I$21*H18</f>
        <v>0</v>
      </c>
      <c r="J18" s="259">
        <f t="shared" si="0"/>
        <v>0</v>
      </c>
      <c r="K18" s="260">
        <f t="shared" si="1"/>
        <v>0</v>
      </c>
      <c r="L18" s="253"/>
    </row>
    <row r="19" spans="2:12">
      <c r="B19" s="261"/>
      <c r="C19" s="233" t="s">
        <v>89</v>
      </c>
      <c r="D19" s="262"/>
      <c r="E19" s="261"/>
      <c r="F19" s="261"/>
      <c r="G19" s="261"/>
      <c r="H19" s="261"/>
      <c r="I19" s="265">
        <f>SUM(I10:I18)</f>
        <v>84.399999999999991</v>
      </c>
      <c r="J19" s="266">
        <f>SUM(J10:J18)</f>
        <v>7946.0999999999995</v>
      </c>
      <c r="K19" s="267">
        <f t="shared" si="1"/>
        <v>0.39496365755014784</v>
      </c>
      <c r="L19" s="262"/>
    </row>
    <row r="20" spans="2:12">
      <c r="B20" s="55"/>
      <c r="C20" s="55"/>
      <c r="D20" s="253"/>
      <c r="E20" s="55"/>
      <c r="F20" s="55"/>
      <c r="G20" s="55"/>
      <c r="H20" s="55"/>
      <c r="I20" s="55"/>
      <c r="J20" s="269"/>
      <c r="K20" s="55"/>
      <c r="L20" s="253"/>
    </row>
    <row r="21" spans="2:12">
      <c r="B21" s="261"/>
      <c r="C21" s="261" t="s">
        <v>92</v>
      </c>
      <c r="D21" s="262" t="s">
        <v>65</v>
      </c>
      <c r="E21" s="261"/>
      <c r="F21" s="261"/>
      <c r="G21" s="261"/>
      <c r="H21" s="270">
        <f>SUM(H4:H19)</f>
        <v>1</v>
      </c>
      <c r="I21" s="271">
        <v>20</v>
      </c>
      <c r="J21" s="266">
        <f>J8+J19</f>
        <v>20118.559893048128</v>
      </c>
      <c r="K21" s="267">
        <f>J21/$J$21</f>
        <v>1</v>
      </c>
      <c r="L21" s="262"/>
    </row>
    <row r="22" spans="2:12">
      <c r="B22" s="55"/>
      <c r="C22" s="55" t="s">
        <v>93</v>
      </c>
      <c r="D22" s="55"/>
      <c r="E22" s="55" t="s">
        <v>76</v>
      </c>
      <c r="F22" s="55"/>
      <c r="G22" s="279">
        <f>H21-H22</f>
        <v>0</v>
      </c>
      <c r="H22" s="280">
        <f>1-(I21-I22)/I21</f>
        <v>1</v>
      </c>
      <c r="I22" s="272">
        <v>20</v>
      </c>
      <c r="J22" s="285">
        <f>J21/H22</f>
        <v>20118.559893048128</v>
      </c>
      <c r="K22" s="55"/>
      <c r="L22" s="55"/>
    </row>
    <row r="23" spans="2:12">
      <c r="B23" s="261"/>
      <c r="C23" s="233" t="s">
        <v>94</v>
      </c>
      <c r="D23" s="261"/>
      <c r="E23" s="261"/>
      <c r="F23" s="261"/>
      <c r="G23" s="275"/>
      <c r="H23" s="276"/>
      <c r="I23" s="282" t="s">
        <v>67</v>
      </c>
      <c r="J23" s="277">
        <f>J22</f>
        <v>20118.559893048128</v>
      </c>
      <c r="K23" s="261"/>
      <c r="L23" s="261"/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2"/>
  </sheetPr>
  <dimension ref="B2:O27"/>
  <sheetViews>
    <sheetView zoomScaleNormal="100" workbookViewId="0">
      <selection activeCell="M37" sqref="M37"/>
    </sheetView>
  </sheetViews>
  <sheetFormatPr defaultColWidth="9.109375" defaultRowHeight="13.8" outlineLevelCol="1"/>
  <cols>
    <col min="1" max="1" width="3" style="246" customWidth="1"/>
    <col min="2" max="2" width="8.6640625" style="246" customWidth="1"/>
    <col min="3" max="3" width="3.33203125" style="246" customWidth="1"/>
    <col min="4" max="4" width="29.88671875" style="246" customWidth="1"/>
    <col min="5" max="5" width="5.88671875" style="246" customWidth="1"/>
    <col min="6" max="6" width="7.33203125" style="246" customWidth="1"/>
    <col min="7" max="7" width="8.33203125" style="246" hidden="1" customWidth="1" outlineLevel="1"/>
    <col min="8" max="8" width="7.33203125" style="246" hidden="1" customWidth="1" outlineLevel="1"/>
    <col min="9" max="9" width="8.44140625" style="246" customWidth="1" collapsed="1"/>
    <col min="10" max="10" width="6.109375" style="246" customWidth="1"/>
    <col min="11" max="11" width="7.6640625" style="246" customWidth="1"/>
    <col min="12" max="12" width="7.109375" style="246" customWidth="1"/>
    <col min="13" max="13" width="8.88671875" style="246" customWidth="1"/>
    <col min="14" max="14" width="3.33203125" style="246" customWidth="1"/>
    <col min="15" max="15" width="9.109375" style="246"/>
    <col min="16" max="16" width="17.44140625" style="246" customWidth="1"/>
    <col min="17" max="17" width="3.44140625" style="246" customWidth="1"/>
    <col min="18" max="18" width="23" style="246" bestFit="1" customWidth="1"/>
    <col min="19" max="20" width="9.109375" style="246"/>
    <col min="21" max="21" width="11.88671875" style="246" customWidth="1"/>
    <col min="22" max="22" width="2" style="246" customWidth="1"/>
    <col min="23" max="16384" width="9.109375" style="246"/>
  </cols>
  <sheetData>
    <row r="2" spans="2:13" ht="18">
      <c r="B2" s="371" t="s">
        <v>231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86" t="s">
        <v>132</v>
      </c>
    </row>
    <row r="3" spans="2:13">
      <c r="B3" s="287" t="s">
        <v>174</v>
      </c>
      <c r="C3" s="288" t="s">
        <v>359</v>
      </c>
      <c r="D3" s="289" t="s">
        <v>170</v>
      </c>
      <c r="E3" s="290" t="s">
        <v>98</v>
      </c>
      <c r="F3" s="290" t="s">
        <v>99</v>
      </c>
      <c r="G3" s="290" t="s">
        <v>100</v>
      </c>
      <c r="H3" s="290" t="s">
        <v>101</v>
      </c>
      <c r="I3" s="290" t="s">
        <v>102</v>
      </c>
      <c r="J3" s="290" t="s">
        <v>103</v>
      </c>
      <c r="K3" s="290" t="s">
        <v>104</v>
      </c>
      <c r="L3" s="290" t="s">
        <v>105</v>
      </c>
      <c r="M3" s="291" t="s">
        <v>169</v>
      </c>
    </row>
    <row r="4" spans="2:13" ht="36.75" customHeight="1">
      <c r="B4" s="292"/>
      <c r="C4" s="293"/>
      <c r="D4" s="294"/>
      <c r="E4" s="295"/>
      <c r="F4" s="295"/>
      <c r="G4" s="295"/>
      <c r="H4" s="295"/>
      <c r="I4" s="295"/>
      <c r="J4" s="295"/>
      <c r="K4" s="295"/>
      <c r="L4" s="295"/>
      <c r="M4" s="296"/>
    </row>
    <row r="5" spans="2:13" ht="12" customHeight="1">
      <c r="B5" s="297" t="s">
        <v>173</v>
      </c>
      <c r="C5" s="298">
        <v>1</v>
      </c>
      <c r="D5" s="299" t="s">
        <v>106</v>
      </c>
      <c r="E5" s="300">
        <v>1</v>
      </c>
      <c r="F5" s="300" t="s">
        <v>107</v>
      </c>
      <c r="G5" s="300">
        <v>20</v>
      </c>
      <c r="H5" s="300" t="s">
        <v>108</v>
      </c>
      <c r="I5" s="300">
        <f>E5*60/G5*90</f>
        <v>270</v>
      </c>
      <c r="J5" s="300" t="s">
        <v>109</v>
      </c>
      <c r="K5" s="301"/>
      <c r="L5" s="301">
        <v>220</v>
      </c>
      <c r="M5" s="302">
        <v>1</v>
      </c>
    </row>
    <row r="6" spans="2:13" ht="12" customHeight="1">
      <c r="B6" s="303"/>
      <c r="C6" s="304">
        <v>2</v>
      </c>
      <c r="D6" s="305" t="s">
        <v>181</v>
      </c>
      <c r="E6" s="306">
        <v>5</v>
      </c>
      <c r="F6" s="306" t="s">
        <v>110</v>
      </c>
      <c r="G6" s="306" t="s">
        <v>111</v>
      </c>
      <c r="H6" s="306" t="s">
        <v>111</v>
      </c>
      <c r="I6" s="306">
        <v>15</v>
      </c>
      <c r="J6" s="306" t="s">
        <v>109</v>
      </c>
      <c r="K6" s="307"/>
      <c r="L6" s="307"/>
      <c r="M6" s="308">
        <v>1</v>
      </c>
    </row>
    <row r="7" spans="2:13" ht="12" customHeight="1">
      <c r="B7" s="309"/>
      <c r="C7" s="310">
        <v>3</v>
      </c>
      <c r="D7" s="311" t="s">
        <v>177</v>
      </c>
      <c r="E7" s="312">
        <v>2</v>
      </c>
      <c r="F7" s="312" t="s">
        <v>110</v>
      </c>
      <c r="G7" s="312" t="s">
        <v>111</v>
      </c>
      <c r="H7" s="312" t="s">
        <v>111</v>
      </c>
      <c r="I7" s="312">
        <v>20</v>
      </c>
      <c r="J7" s="312" t="s">
        <v>109</v>
      </c>
      <c r="K7" s="313"/>
      <c r="L7" s="313"/>
      <c r="M7" s="314">
        <v>2</v>
      </c>
    </row>
    <row r="8" spans="2:13" ht="12" customHeight="1">
      <c r="B8" s="315" t="s">
        <v>180</v>
      </c>
      <c r="C8" s="316">
        <v>4</v>
      </c>
      <c r="D8" s="299" t="s">
        <v>178</v>
      </c>
      <c r="E8" s="300">
        <v>2</v>
      </c>
      <c r="F8" s="300" t="s">
        <v>110</v>
      </c>
      <c r="G8" s="300" t="s">
        <v>111</v>
      </c>
      <c r="H8" s="300" t="s">
        <v>111</v>
      </c>
      <c r="I8" s="300">
        <v>15</v>
      </c>
      <c r="J8" s="300" t="s">
        <v>109</v>
      </c>
      <c r="K8" s="301"/>
      <c r="L8" s="301"/>
      <c r="M8" s="317">
        <v>2</v>
      </c>
    </row>
    <row r="9" spans="2:13" ht="12" customHeight="1">
      <c r="B9" s="318"/>
      <c r="C9" s="319">
        <v>5</v>
      </c>
      <c r="D9" s="305" t="s">
        <v>112</v>
      </c>
      <c r="E9" s="306">
        <v>1</v>
      </c>
      <c r="F9" s="306" t="s">
        <v>110</v>
      </c>
      <c r="G9" s="306" t="s">
        <v>111</v>
      </c>
      <c r="H9" s="306" t="s">
        <v>111</v>
      </c>
      <c r="I9" s="306">
        <v>15</v>
      </c>
      <c r="J9" s="306" t="s">
        <v>109</v>
      </c>
      <c r="K9" s="307"/>
      <c r="L9" s="307"/>
      <c r="M9" s="320"/>
    </row>
    <row r="10" spans="2:13" ht="12" customHeight="1">
      <c r="B10" s="318"/>
      <c r="C10" s="319">
        <v>6</v>
      </c>
      <c r="D10" s="305" t="s">
        <v>113</v>
      </c>
      <c r="E10" s="306">
        <v>2</v>
      </c>
      <c r="F10" s="306" t="s">
        <v>110</v>
      </c>
      <c r="G10" s="306" t="s">
        <v>111</v>
      </c>
      <c r="H10" s="306" t="s">
        <v>111</v>
      </c>
      <c r="I10" s="306">
        <v>15</v>
      </c>
      <c r="J10" s="306" t="s">
        <v>109</v>
      </c>
      <c r="K10" s="307"/>
      <c r="L10" s="307"/>
      <c r="M10" s="320"/>
    </row>
    <row r="11" spans="2:13" ht="12" customHeight="1">
      <c r="B11" s="318"/>
      <c r="C11" s="319">
        <v>7</v>
      </c>
      <c r="D11" s="305" t="s">
        <v>114</v>
      </c>
      <c r="E11" s="306">
        <v>2</v>
      </c>
      <c r="F11" s="306" t="s">
        <v>110</v>
      </c>
      <c r="G11" s="306" t="s">
        <v>111</v>
      </c>
      <c r="H11" s="306" t="s">
        <v>111</v>
      </c>
      <c r="I11" s="306">
        <v>15</v>
      </c>
      <c r="J11" s="306" t="s">
        <v>109</v>
      </c>
      <c r="K11" s="321">
        <v>0.8</v>
      </c>
      <c r="L11" s="322">
        <v>80</v>
      </c>
      <c r="M11" s="320"/>
    </row>
    <row r="12" spans="2:13" ht="12" customHeight="1">
      <c r="B12" s="318"/>
      <c r="C12" s="319">
        <v>8</v>
      </c>
      <c r="D12" s="305" t="s">
        <v>115</v>
      </c>
      <c r="E12" s="306">
        <v>2</v>
      </c>
      <c r="F12" s="306" t="s">
        <v>110</v>
      </c>
      <c r="G12" s="306" t="s">
        <v>111</v>
      </c>
      <c r="H12" s="306" t="s">
        <v>111</v>
      </c>
      <c r="I12" s="306">
        <v>20</v>
      </c>
      <c r="J12" s="306" t="s">
        <v>109</v>
      </c>
      <c r="K12" s="307"/>
      <c r="L12" s="322"/>
      <c r="M12" s="320"/>
    </row>
    <row r="13" spans="2:13" ht="12" customHeight="1">
      <c r="B13" s="318"/>
      <c r="C13" s="319">
        <v>9</v>
      </c>
      <c r="D13" s="305" t="s">
        <v>116</v>
      </c>
      <c r="E13" s="306">
        <v>2</v>
      </c>
      <c r="F13" s="306" t="s">
        <v>110</v>
      </c>
      <c r="G13" s="306" t="s">
        <v>111</v>
      </c>
      <c r="H13" s="306" t="s">
        <v>111</v>
      </c>
      <c r="I13" s="306">
        <v>15</v>
      </c>
      <c r="J13" s="306" t="s">
        <v>109</v>
      </c>
      <c r="K13" s="307"/>
      <c r="L13" s="322"/>
      <c r="M13" s="320"/>
    </row>
    <row r="14" spans="2:13" ht="12" customHeight="1">
      <c r="B14" s="323"/>
      <c r="C14" s="324">
        <v>10</v>
      </c>
      <c r="D14" s="311" t="s">
        <v>117</v>
      </c>
      <c r="E14" s="312">
        <v>2</v>
      </c>
      <c r="F14" s="312" t="s">
        <v>110</v>
      </c>
      <c r="G14" s="312" t="s">
        <v>111</v>
      </c>
      <c r="H14" s="312" t="s">
        <v>111</v>
      </c>
      <c r="I14" s="312">
        <v>15</v>
      </c>
      <c r="J14" s="312" t="s">
        <v>109</v>
      </c>
      <c r="K14" s="313"/>
      <c r="L14" s="325"/>
      <c r="M14" s="326"/>
    </row>
    <row r="15" spans="2:13" ht="24">
      <c r="B15" s="327" t="s">
        <v>182</v>
      </c>
      <c r="C15" s="328">
        <v>11</v>
      </c>
      <c r="D15" s="311" t="s">
        <v>436</v>
      </c>
      <c r="E15" s="312">
        <v>1</v>
      </c>
      <c r="F15" s="312" t="s">
        <v>110</v>
      </c>
      <c r="G15" s="312"/>
      <c r="H15" s="312"/>
      <c r="I15" s="312" t="s">
        <v>176</v>
      </c>
      <c r="J15" s="312" t="s">
        <v>118</v>
      </c>
      <c r="K15" s="313">
        <v>4.12</v>
      </c>
      <c r="L15" s="313">
        <v>140</v>
      </c>
      <c r="M15" s="314">
        <v>1</v>
      </c>
    </row>
    <row r="16" spans="2:13" ht="12" customHeight="1">
      <c r="B16" s="329" t="s">
        <v>179</v>
      </c>
      <c r="C16" s="330">
        <v>12</v>
      </c>
      <c r="D16" s="299" t="s">
        <v>175</v>
      </c>
      <c r="E16" s="300">
        <v>1</v>
      </c>
      <c r="F16" s="300" t="s">
        <v>107</v>
      </c>
      <c r="G16" s="300">
        <v>6</v>
      </c>
      <c r="H16" s="300">
        <v>0.2</v>
      </c>
      <c r="I16" s="331">
        <f>E16*60/G16*H16</f>
        <v>2</v>
      </c>
      <c r="J16" s="300" t="s">
        <v>118</v>
      </c>
      <c r="K16" s="301">
        <f>0.36+0.72</f>
        <v>1.08</v>
      </c>
      <c r="L16" s="301">
        <v>25</v>
      </c>
      <c r="M16" s="302">
        <v>2</v>
      </c>
    </row>
    <row r="17" spans="2:15" ht="12" customHeight="1">
      <c r="B17" s="332"/>
      <c r="C17" s="333">
        <v>13</v>
      </c>
      <c r="D17" s="305" t="s">
        <v>171</v>
      </c>
      <c r="E17" s="306">
        <v>1</v>
      </c>
      <c r="F17" s="306" t="s">
        <v>110</v>
      </c>
      <c r="G17" s="306" t="s">
        <v>111</v>
      </c>
      <c r="H17" s="306" t="s">
        <v>111</v>
      </c>
      <c r="I17" s="306">
        <v>2.7</v>
      </c>
      <c r="J17" s="306" t="s">
        <v>118</v>
      </c>
      <c r="K17" s="322"/>
      <c r="L17" s="322">
        <v>12</v>
      </c>
      <c r="M17" s="320">
        <v>7</v>
      </c>
    </row>
    <row r="18" spans="2:15" ht="12" customHeight="1">
      <c r="B18" s="332"/>
      <c r="C18" s="333">
        <v>14</v>
      </c>
      <c r="D18" s="305" t="s">
        <v>119</v>
      </c>
      <c r="E18" s="306">
        <v>3</v>
      </c>
      <c r="F18" s="306" t="s">
        <v>110</v>
      </c>
      <c r="G18" s="306" t="s">
        <v>111</v>
      </c>
      <c r="H18" s="306" t="s">
        <v>111</v>
      </c>
      <c r="I18" s="306">
        <v>2.7</v>
      </c>
      <c r="J18" s="306" t="s">
        <v>118</v>
      </c>
      <c r="K18" s="322"/>
      <c r="L18" s="322"/>
      <c r="M18" s="320"/>
    </row>
    <row r="19" spans="2:15" ht="12" customHeight="1">
      <c r="B19" s="334" t="s">
        <v>172</v>
      </c>
      <c r="C19" s="335">
        <v>15</v>
      </c>
      <c r="D19" s="299" t="s">
        <v>120</v>
      </c>
      <c r="E19" s="300">
        <v>1</v>
      </c>
      <c r="F19" s="300" t="s">
        <v>110</v>
      </c>
      <c r="G19" s="300" t="s">
        <v>111</v>
      </c>
      <c r="H19" s="300" t="s">
        <v>111</v>
      </c>
      <c r="I19" s="300">
        <v>10</v>
      </c>
      <c r="J19" s="300" t="s">
        <v>118</v>
      </c>
      <c r="K19" s="336"/>
      <c r="L19" s="336">
        <v>15</v>
      </c>
      <c r="M19" s="317">
        <v>3</v>
      </c>
    </row>
    <row r="20" spans="2:15" ht="12" customHeight="1">
      <c r="B20" s="337"/>
      <c r="C20" s="338">
        <v>16</v>
      </c>
      <c r="D20" s="311" t="s">
        <v>121</v>
      </c>
      <c r="E20" s="312">
        <v>1</v>
      </c>
      <c r="F20" s="312" t="s">
        <v>110</v>
      </c>
      <c r="G20" s="312" t="s">
        <v>111</v>
      </c>
      <c r="H20" s="312" t="s">
        <v>111</v>
      </c>
      <c r="I20" s="312">
        <v>10</v>
      </c>
      <c r="J20" s="312" t="s">
        <v>118</v>
      </c>
      <c r="K20" s="325"/>
      <c r="L20" s="325"/>
      <c r="M20" s="326"/>
    </row>
    <row r="21" spans="2:15" ht="12" customHeight="1">
      <c r="B21" s="339" t="s">
        <v>122</v>
      </c>
      <c r="C21" s="338">
        <v>17</v>
      </c>
      <c r="D21" s="311" t="s">
        <v>123</v>
      </c>
      <c r="E21" s="312"/>
      <c r="F21" s="312" t="s">
        <v>110</v>
      </c>
      <c r="G21" s="312" t="s">
        <v>111</v>
      </c>
      <c r="H21" s="312" t="s">
        <v>111</v>
      </c>
      <c r="I21" s="312" t="s">
        <v>111</v>
      </c>
      <c r="J21" s="312" t="s">
        <v>118</v>
      </c>
      <c r="K21" s="312"/>
      <c r="L21" s="312"/>
      <c r="M21" s="314">
        <v>3</v>
      </c>
    </row>
    <row r="22" spans="2:15">
      <c r="B22" s="340"/>
      <c r="C22" s="341"/>
      <c r="D22" s="342"/>
      <c r="E22" s="342"/>
      <c r="F22" s="342"/>
      <c r="G22" s="342"/>
      <c r="H22" s="342"/>
      <c r="I22" s="342"/>
      <c r="J22" s="342" t="s">
        <v>7</v>
      </c>
      <c r="K22" s="343">
        <f>SUM(K5:K21)</f>
        <v>6</v>
      </c>
      <c r="L22" s="343">
        <f>SUM(L5:L21)</f>
        <v>492</v>
      </c>
      <c r="M22" s="344">
        <f>SUM(M5:M21)</f>
        <v>22</v>
      </c>
    </row>
    <row r="23" spans="2:15">
      <c r="B23" s="345" t="s">
        <v>124</v>
      </c>
      <c r="C23" s="346"/>
      <c r="D23" s="347"/>
      <c r="E23" s="347"/>
      <c r="F23" s="347"/>
      <c r="G23" s="347"/>
      <c r="H23" s="347"/>
      <c r="I23" s="347"/>
      <c r="J23" s="347" t="s">
        <v>125</v>
      </c>
      <c r="K23" s="348">
        <f>620.7/35</f>
        <v>17.734285714285715</v>
      </c>
      <c r="L23" s="349">
        <v>5.1207897793263624E-2</v>
      </c>
      <c r="M23" s="350">
        <f>7/35</f>
        <v>0.2</v>
      </c>
    </row>
    <row r="24" spans="2:15">
      <c r="B24" s="351" t="s">
        <v>126</v>
      </c>
      <c r="C24" s="352"/>
      <c r="D24" s="353"/>
      <c r="E24" s="353"/>
      <c r="F24" s="353"/>
      <c r="G24" s="353"/>
      <c r="H24" s="353"/>
      <c r="I24" s="353"/>
      <c r="J24" s="353" t="s">
        <v>127</v>
      </c>
      <c r="K24" s="354">
        <f>K22*K23</f>
        <v>106.40571428571428</v>
      </c>
      <c r="L24" s="354">
        <f>L22*L23</f>
        <v>25.194285714285702</v>
      </c>
      <c r="M24" s="355">
        <f>M22*M23</f>
        <v>4.4000000000000004</v>
      </c>
    </row>
    <row r="25" spans="2:15">
      <c r="B25" s="356"/>
      <c r="C25" s="357"/>
      <c r="D25" s="358"/>
      <c r="E25" s="358"/>
      <c r="F25" s="358"/>
      <c r="G25" s="358"/>
      <c r="H25" s="358"/>
      <c r="I25" s="358"/>
      <c r="J25" s="358" t="s">
        <v>128</v>
      </c>
      <c r="K25" s="359"/>
      <c r="L25" s="360"/>
      <c r="M25" s="361">
        <f>SUM(K24:M24)</f>
        <v>136</v>
      </c>
    </row>
    <row r="26" spans="2:15">
      <c r="B26" s="351" t="s">
        <v>129</v>
      </c>
      <c r="C26" s="352"/>
      <c r="D26" s="358"/>
      <c r="E26" s="358"/>
      <c r="F26" s="358"/>
      <c r="G26" s="358"/>
      <c r="H26" s="358"/>
      <c r="I26" s="358"/>
      <c r="J26" s="353" t="s">
        <v>130</v>
      </c>
      <c r="K26" s="359"/>
      <c r="L26" s="360"/>
      <c r="M26" s="362">
        <v>2</v>
      </c>
    </row>
    <row r="27" spans="2:15">
      <c r="B27" s="363" t="s">
        <v>131</v>
      </c>
      <c r="C27" s="364"/>
      <c r="D27" s="365"/>
      <c r="E27" s="365"/>
      <c r="F27" s="365"/>
      <c r="G27" s="365"/>
      <c r="H27" s="365"/>
      <c r="I27" s="365"/>
      <c r="J27" s="366" t="s">
        <v>220</v>
      </c>
      <c r="K27" s="367"/>
      <c r="L27" s="368" t="s">
        <v>221</v>
      </c>
      <c r="M27" s="369">
        <f>M25/M26</f>
        <v>68</v>
      </c>
      <c r="O27" s="370"/>
    </row>
  </sheetData>
  <mergeCells count="23">
    <mergeCell ref="M8:M14"/>
    <mergeCell ref="B5:B7"/>
    <mergeCell ref="B8:B14"/>
    <mergeCell ref="L3:L4"/>
    <mergeCell ref="M3:M4"/>
    <mergeCell ref="L11:L14"/>
    <mergeCell ref="H3:H4"/>
    <mergeCell ref="I3:I4"/>
    <mergeCell ref="J3:J4"/>
    <mergeCell ref="K3:K4"/>
    <mergeCell ref="B19:B20"/>
    <mergeCell ref="K19:K20"/>
    <mergeCell ref="L19:L20"/>
    <mergeCell ref="M19:M20"/>
    <mergeCell ref="B16:B18"/>
    <mergeCell ref="K17:K18"/>
    <mergeCell ref="L17:L18"/>
    <mergeCell ref="M17:M18"/>
    <mergeCell ref="B3:B4"/>
    <mergeCell ref="D3:D4"/>
    <mergeCell ref="F3:F4"/>
    <mergeCell ref="G3:G4"/>
    <mergeCell ref="E3:E4"/>
  </mergeCells>
  <phoneticPr fontId="3" type="noConversion"/>
  <pageMargins left="0.75" right="0.75" top="1" bottom="1" header="0.5" footer="0.5"/>
  <pageSetup paperSize="9" orientation="portrait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2"/>
  </sheetPr>
  <dimension ref="B2:G18"/>
  <sheetViews>
    <sheetView workbookViewId="0">
      <selection activeCell="M37" sqref="M37"/>
    </sheetView>
  </sheetViews>
  <sheetFormatPr defaultColWidth="3.6640625" defaultRowHeight="13.8"/>
  <cols>
    <col min="1" max="1" width="3.109375" style="246" customWidth="1"/>
    <col min="2" max="2" width="15.6640625" style="246" customWidth="1"/>
    <col min="3" max="3" width="3" style="246" bestFit="1" customWidth="1"/>
    <col min="4" max="4" width="26.109375" style="246" customWidth="1"/>
    <col min="5" max="5" width="8.5546875" style="246" bestFit="1" customWidth="1"/>
    <col min="6" max="6" width="7.6640625" style="246" bestFit="1" customWidth="1"/>
    <col min="7" max="7" width="10.33203125" style="246" bestFit="1" customWidth="1"/>
    <col min="8" max="16384" width="3.6640625" style="246"/>
  </cols>
  <sheetData>
    <row r="2" spans="2:7" ht="18">
      <c r="B2" s="371" t="s">
        <v>233</v>
      </c>
      <c r="C2" s="21"/>
      <c r="D2" s="21"/>
      <c r="E2" s="21"/>
      <c r="F2" s="21"/>
      <c r="G2" s="380" t="s">
        <v>232</v>
      </c>
    </row>
    <row r="3" spans="2:7">
      <c r="B3" s="245" t="s">
        <v>192</v>
      </c>
      <c r="C3" s="245"/>
      <c r="D3" s="245" t="s">
        <v>189</v>
      </c>
      <c r="E3" s="245" t="s">
        <v>186</v>
      </c>
      <c r="F3" s="245" t="s">
        <v>187</v>
      </c>
      <c r="G3" s="245" t="s">
        <v>188</v>
      </c>
    </row>
    <row r="4" spans="2:7">
      <c r="B4" s="55" t="s">
        <v>191</v>
      </c>
      <c r="C4" s="253">
        <v>1</v>
      </c>
      <c r="D4" s="55" t="s">
        <v>183</v>
      </c>
      <c r="E4" s="272">
        <v>1</v>
      </c>
      <c r="F4" s="254">
        <v>23</v>
      </c>
      <c r="G4" s="256">
        <f>E4*F4</f>
        <v>23</v>
      </c>
    </row>
    <row r="5" spans="2:7">
      <c r="B5" s="55"/>
      <c r="C5" s="253">
        <v>2</v>
      </c>
      <c r="D5" s="55" t="s">
        <v>184</v>
      </c>
      <c r="E5" s="272">
        <v>2</v>
      </c>
      <c r="F5" s="254">
        <v>4.0999999999999996</v>
      </c>
      <c r="G5" s="256">
        <f>E5*F5</f>
        <v>8.1999999999999993</v>
      </c>
    </row>
    <row r="6" spans="2:7">
      <c r="B6" s="55"/>
      <c r="C6" s="253">
        <v>3</v>
      </c>
      <c r="D6" s="55" t="s">
        <v>185</v>
      </c>
      <c r="E6" s="272">
        <v>1</v>
      </c>
      <c r="F6" s="254">
        <v>2.5</v>
      </c>
      <c r="G6" s="256">
        <f>E6*F6</f>
        <v>2.5</v>
      </c>
    </row>
    <row r="7" spans="2:7">
      <c r="B7" s="261"/>
      <c r="C7" s="262"/>
      <c r="D7" s="372" t="s">
        <v>203</v>
      </c>
      <c r="E7" s="373"/>
      <c r="F7" s="373"/>
      <c r="G7" s="374">
        <f>SUM(G4:G6)</f>
        <v>33.700000000000003</v>
      </c>
    </row>
    <row r="8" spans="2:7">
      <c r="B8" s="55" t="s">
        <v>190</v>
      </c>
      <c r="C8" s="253">
        <v>4</v>
      </c>
      <c r="D8" s="55" t="s">
        <v>195</v>
      </c>
      <c r="E8" s="272">
        <v>24</v>
      </c>
      <c r="F8" s="256">
        <f>G7</f>
        <v>33.700000000000003</v>
      </c>
      <c r="G8" s="256">
        <f>E8*F8</f>
        <v>808.80000000000007</v>
      </c>
    </row>
    <row r="9" spans="2:7">
      <c r="B9" s="55"/>
      <c r="C9" s="253">
        <v>5</v>
      </c>
      <c r="D9" s="55" t="s">
        <v>193</v>
      </c>
      <c r="E9" s="272">
        <v>1</v>
      </c>
      <c r="F9" s="254">
        <v>18</v>
      </c>
      <c r="G9" s="256">
        <f>E9*F9</f>
        <v>18</v>
      </c>
    </row>
    <row r="10" spans="2:7">
      <c r="B10" s="55"/>
      <c r="C10" s="253">
        <v>6</v>
      </c>
      <c r="D10" s="55" t="s">
        <v>196</v>
      </c>
      <c r="E10" s="272">
        <v>1</v>
      </c>
      <c r="F10" s="254">
        <v>1.5</v>
      </c>
      <c r="G10" s="256">
        <f>E10*F10</f>
        <v>1.5</v>
      </c>
    </row>
    <row r="11" spans="2:7">
      <c r="B11" s="261"/>
      <c r="C11" s="261"/>
      <c r="D11" s="372" t="s">
        <v>203</v>
      </c>
      <c r="E11" s="373"/>
      <c r="F11" s="373"/>
      <c r="G11" s="374">
        <f>SUM(G8:G10)</f>
        <v>828.30000000000007</v>
      </c>
    </row>
    <row r="12" spans="2:7">
      <c r="B12" s="55" t="s">
        <v>197</v>
      </c>
      <c r="C12" s="55">
        <v>7</v>
      </c>
      <c r="D12" s="55" t="s">
        <v>198</v>
      </c>
      <c r="E12" s="272">
        <v>67</v>
      </c>
      <c r="F12" s="375">
        <f>G11</f>
        <v>828.30000000000007</v>
      </c>
      <c r="G12" s="376">
        <f>E12*F12</f>
        <v>55496.100000000006</v>
      </c>
    </row>
    <row r="13" spans="2:7">
      <c r="B13" s="55"/>
      <c r="C13" s="55">
        <v>8</v>
      </c>
      <c r="D13" s="55" t="s">
        <v>199</v>
      </c>
      <c r="E13" s="272">
        <v>1</v>
      </c>
      <c r="F13" s="254">
        <v>15</v>
      </c>
      <c r="G13" s="256">
        <f>E13*F13</f>
        <v>15</v>
      </c>
    </row>
    <row r="14" spans="2:7">
      <c r="B14" s="55"/>
      <c r="C14" s="55">
        <v>9</v>
      </c>
      <c r="D14" s="55" t="s">
        <v>194</v>
      </c>
      <c r="E14" s="272">
        <v>2</v>
      </c>
      <c r="F14" s="254">
        <v>0.8</v>
      </c>
      <c r="G14" s="256">
        <f>E14*F14</f>
        <v>1.6</v>
      </c>
    </row>
    <row r="15" spans="2:7">
      <c r="B15" s="261"/>
      <c r="C15" s="261">
        <v>10</v>
      </c>
      <c r="D15" s="261" t="s">
        <v>200</v>
      </c>
      <c r="E15" s="271">
        <v>1</v>
      </c>
      <c r="F15" s="263">
        <v>1.5</v>
      </c>
      <c r="G15" s="377">
        <f>E15*F15</f>
        <v>1.5</v>
      </c>
    </row>
    <row r="16" spans="2:7">
      <c r="B16" s="278" t="s">
        <v>201</v>
      </c>
      <c r="C16" s="55"/>
      <c r="D16" s="55"/>
      <c r="E16" s="55"/>
      <c r="F16" s="55"/>
      <c r="G16" s="378">
        <f>SUM(G12:G15)</f>
        <v>55514.200000000004</v>
      </c>
    </row>
    <row r="17" spans="2:7">
      <c r="B17" s="55" t="s">
        <v>202</v>
      </c>
      <c r="C17" s="55"/>
      <c r="D17" s="55"/>
      <c r="E17" s="55"/>
      <c r="F17" s="55"/>
      <c r="G17" s="376">
        <f>E8*E12</f>
        <v>1608</v>
      </c>
    </row>
    <row r="18" spans="2:7">
      <c r="B18" s="261"/>
      <c r="C18" s="261"/>
      <c r="D18" s="261"/>
      <c r="E18" s="261"/>
      <c r="F18" s="282" t="s">
        <v>161</v>
      </c>
      <c r="G18" s="379">
        <f>G16/G17</f>
        <v>34.523756218905476</v>
      </c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2"/>
  </sheetPr>
  <dimension ref="B2:K14"/>
  <sheetViews>
    <sheetView workbookViewId="0">
      <selection activeCell="M37" sqref="M37"/>
    </sheetView>
  </sheetViews>
  <sheetFormatPr defaultColWidth="9.109375" defaultRowHeight="13.8"/>
  <cols>
    <col min="1" max="1" width="2.33203125" style="246" customWidth="1"/>
    <col min="2" max="2" width="4.109375" style="246" customWidth="1"/>
    <col min="3" max="3" width="40" style="246" bestFit="1" customWidth="1"/>
    <col min="4" max="4" width="9" style="246" customWidth="1"/>
    <col min="5" max="5" width="9.6640625" style="246" customWidth="1"/>
    <col min="6" max="6" width="10.33203125" style="246" customWidth="1"/>
    <col min="7" max="7" width="9.44140625" style="246" customWidth="1"/>
    <col min="8" max="8" width="10.44140625" style="246" customWidth="1"/>
    <col min="9" max="9" width="9.5546875" style="246" customWidth="1"/>
    <col min="10" max="10" width="8.109375" style="246" customWidth="1"/>
    <col min="11" max="11" width="12.33203125" style="246" customWidth="1"/>
    <col min="12" max="12" width="2" style="246" customWidth="1"/>
    <col min="13" max="16384" width="9.109375" style="246"/>
  </cols>
  <sheetData>
    <row r="2" spans="2:11" ht="18">
      <c r="B2" s="371" t="s">
        <v>234</v>
      </c>
      <c r="C2" s="245"/>
      <c r="D2" s="245"/>
      <c r="E2" s="245"/>
      <c r="F2" s="380" t="s">
        <v>132</v>
      </c>
      <c r="G2" s="245"/>
      <c r="H2" s="245"/>
      <c r="I2" s="245"/>
      <c r="J2" s="245"/>
      <c r="K2" s="245"/>
    </row>
    <row r="3" spans="2:11" ht="41.4">
      <c r="B3" s="381" t="s">
        <v>69</v>
      </c>
      <c r="C3" s="382" t="s">
        <v>204</v>
      </c>
      <c r="D3" s="251" t="s">
        <v>186</v>
      </c>
      <c r="E3" s="251" t="s">
        <v>216</v>
      </c>
      <c r="F3" s="251" t="s">
        <v>205</v>
      </c>
      <c r="G3" s="251" t="s">
        <v>206</v>
      </c>
      <c r="H3" s="251" t="s">
        <v>141</v>
      </c>
      <c r="I3" s="251" t="s">
        <v>207</v>
      </c>
      <c r="J3" s="251" t="s">
        <v>208</v>
      </c>
      <c r="K3" s="251" t="s">
        <v>209</v>
      </c>
    </row>
    <row r="4" spans="2:11">
      <c r="B4" s="55">
        <v>1</v>
      </c>
      <c r="C4" s="55" t="s">
        <v>218</v>
      </c>
      <c r="D4" s="254">
        <v>12.0000000001</v>
      </c>
      <c r="E4" s="383">
        <v>52500</v>
      </c>
      <c r="F4" s="376">
        <f>D4*E4</f>
        <v>630000.00000524998</v>
      </c>
      <c r="G4" s="383">
        <v>10000</v>
      </c>
      <c r="H4" s="376">
        <f>F4-G4</f>
        <v>620000.00000524998</v>
      </c>
      <c r="I4" s="383">
        <v>5</v>
      </c>
      <c r="J4" s="384">
        <f>1/I4</f>
        <v>0.2</v>
      </c>
      <c r="K4" s="376">
        <f>H4*J4</f>
        <v>124000.00000105001</v>
      </c>
    </row>
    <row r="5" spans="2:11">
      <c r="B5" s="55">
        <v>2</v>
      </c>
      <c r="C5" s="55" t="s">
        <v>219</v>
      </c>
      <c r="D5" s="254">
        <v>12.0000000001</v>
      </c>
      <c r="E5" s="383">
        <v>14400</v>
      </c>
      <c r="F5" s="376">
        <f t="shared" ref="F5:F12" si="0">D5*E5</f>
        <v>172800.00000144</v>
      </c>
      <c r="G5" s="383">
        <v>10000</v>
      </c>
      <c r="H5" s="376">
        <f t="shared" ref="H5:H12" si="1">F5-G5</f>
        <v>162800.00000144</v>
      </c>
      <c r="I5" s="383">
        <v>8</v>
      </c>
      <c r="J5" s="384">
        <f t="shared" ref="J5:J12" si="2">1/I5</f>
        <v>0.125</v>
      </c>
      <c r="K5" s="376">
        <f t="shared" ref="K5:K12" si="3">H5*J5</f>
        <v>20350.00000018</v>
      </c>
    </row>
    <row r="6" spans="2:11">
      <c r="B6" s="55">
        <v>3</v>
      </c>
      <c r="C6" s="55" t="s">
        <v>217</v>
      </c>
      <c r="D6" s="383">
        <f>12*10000/6</f>
        <v>20000</v>
      </c>
      <c r="E6" s="254">
        <v>4.5</v>
      </c>
      <c r="F6" s="376">
        <f t="shared" si="0"/>
        <v>90000</v>
      </c>
      <c r="G6" s="383">
        <v>0</v>
      </c>
      <c r="H6" s="376">
        <f t="shared" si="1"/>
        <v>90000</v>
      </c>
      <c r="I6" s="383">
        <v>5</v>
      </c>
      <c r="J6" s="384">
        <f t="shared" si="2"/>
        <v>0.2</v>
      </c>
      <c r="K6" s="376">
        <f t="shared" si="3"/>
        <v>18000</v>
      </c>
    </row>
    <row r="7" spans="2:11">
      <c r="B7" s="55">
        <v>4</v>
      </c>
      <c r="C7" s="55" t="s">
        <v>210</v>
      </c>
      <c r="D7" s="254">
        <v>12.0000000001</v>
      </c>
      <c r="E7" s="383">
        <v>22000</v>
      </c>
      <c r="F7" s="376">
        <f t="shared" si="0"/>
        <v>264000.00000220002</v>
      </c>
      <c r="G7" s="383">
        <v>200000</v>
      </c>
      <c r="H7" s="376">
        <f t="shared" si="1"/>
        <v>64000.000002200017</v>
      </c>
      <c r="I7" s="383">
        <v>20</v>
      </c>
      <c r="J7" s="384">
        <f t="shared" si="2"/>
        <v>0.05</v>
      </c>
      <c r="K7" s="376">
        <f t="shared" si="3"/>
        <v>3200.0000001100011</v>
      </c>
    </row>
    <row r="8" spans="2:11">
      <c r="B8" s="55">
        <v>5</v>
      </c>
      <c r="C8" s="55" t="s">
        <v>211</v>
      </c>
      <c r="D8" s="254">
        <v>1</v>
      </c>
      <c r="E8" s="383">
        <v>95000</v>
      </c>
      <c r="F8" s="376">
        <f t="shared" si="0"/>
        <v>95000</v>
      </c>
      <c r="G8" s="383">
        <v>0</v>
      </c>
      <c r="H8" s="376">
        <f t="shared" si="1"/>
        <v>95000</v>
      </c>
      <c r="I8" s="383">
        <v>5</v>
      </c>
      <c r="J8" s="384">
        <f t="shared" si="2"/>
        <v>0.2</v>
      </c>
      <c r="K8" s="376">
        <f t="shared" si="3"/>
        <v>19000</v>
      </c>
    </row>
    <row r="9" spans="2:11">
      <c r="B9" s="55">
        <v>6</v>
      </c>
      <c r="C9" s="55" t="s">
        <v>212</v>
      </c>
      <c r="D9" s="254">
        <v>1</v>
      </c>
      <c r="E9" s="383">
        <v>200000</v>
      </c>
      <c r="F9" s="376">
        <f t="shared" si="0"/>
        <v>200000</v>
      </c>
      <c r="G9" s="383">
        <v>0</v>
      </c>
      <c r="H9" s="376">
        <f t="shared" si="1"/>
        <v>200000</v>
      </c>
      <c r="I9" s="383">
        <v>8</v>
      </c>
      <c r="J9" s="384">
        <f t="shared" si="2"/>
        <v>0.125</v>
      </c>
      <c r="K9" s="376">
        <f t="shared" si="3"/>
        <v>25000</v>
      </c>
    </row>
    <row r="10" spans="2:11">
      <c r="B10" s="55">
        <v>7</v>
      </c>
      <c r="C10" s="55" t="s">
        <v>213</v>
      </c>
      <c r="D10" s="254">
        <v>1</v>
      </c>
      <c r="E10" s="383">
        <v>90000</v>
      </c>
      <c r="F10" s="376">
        <f t="shared" si="0"/>
        <v>90000</v>
      </c>
      <c r="G10" s="383">
        <v>10000</v>
      </c>
      <c r="H10" s="376">
        <f t="shared" si="1"/>
        <v>80000</v>
      </c>
      <c r="I10" s="383">
        <v>12</v>
      </c>
      <c r="J10" s="384">
        <f t="shared" si="2"/>
        <v>8.3333333333333329E-2</v>
      </c>
      <c r="K10" s="376">
        <f t="shared" si="3"/>
        <v>6666.6666666666661</v>
      </c>
    </row>
    <row r="11" spans="2:11">
      <c r="B11" s="55">
        <v>8</v>
      </c>
      <c r="C11" s="55" t="s">
        <v>214</v>
      </c>
      <c r="D11" s="254">
        <v>2</v>
      </c>
      <c r="E11" s="383">
        <v>60000</v>
      </c>
      <c r="F11" s="376">
        <f t="shared" si="0"/>
        <v>120000</v>
      </c>
      <c r="G11" s="383">
        <v>10000</v>
      </c>
      <c r="H11" s="376">
        <f t="shared" si="1"/>
        <v>110000</v>
      </c>
      <c r="I11" s="383">
        <v>12</v>
      </c>
      <c r="J11" s="384">
        <f t="shared" si="2"/>
        <v>8.3333333333333329E-2</v>
      </c>
      <c r="K11" s="376">
        <f t="shared" si="3"/>
        <v>9166.6666666666661</v>
      </c>
    </row>
    <row r="12" spans="2:11">
      <c r="B12" s="55">
        <v>9</v>
      </c>
      <c r="C12" s="55" t="s">
        <v>215</v>
      </c>
      <c r="D12" s="254">
        <v>1</v>
      </c>
      <c r="E12" s="383">
        <v>40000</v>
      </c>
      <c r="F12" s="376">
        <f t="shared" si="0"/>
        <v>40000</v>
      </c>
      <c r="G12" s="383">
        <v>0</v>
      </c>
      <c r="H12" s="376">
        <f t="shared" si="1"/>
        <v>40000</v>
      </c>
      <c r="I12" s="383">
        <v>10</v>
      </c>
      <c r="J12" s="384">
        <f t="shared" si="2"/>
        <v>0.1</v>
      </c>
      <c r="K12" s="376">
        <f t="shared" si="3"/>
        <v>4000</v>
      </c>
    </row>
    <row r="13" spans="2:11">
      <c r="B13" s="55"/>
      <c r="C13" s="55"/>
      <c r="D13" s="254"/>
      <c r="E13" s="383"/>
      <c r="F13" s="376"/>
      <c r="G13" s="383"/>
      <c r="H13" s="376"/>
      <c r="I13" s="385"/>
      <c r="J13" s="384"/>
      <c r="K13" s="376"/>
    </row>
    <row r="14" spans="2:11">
      <c r="B14" s="55"/>
      <c r="C14" s="278" t="s">
        <v>201</v>
      </c>
      <c r="D14" s="253"/>
      <c r="E14" s="386"/>
      <c r="F14" s="281">
        <f>SUM(F4:F13)</f>
        <v>1701800.0000088899</v>
      </c>
      <c r="G14" s="281">
        <f>SUM(G4:G13)</f>
        <v>240000</v>
      </c>
      <c r="H14" s="281">
        <f>SUM(H4:H13)</f>
        <v>1461800.0000088899</v>
      </c>
      <c r="I14" s="55"/>
      <c r="J14" s="387" t="s">
        <v>144</v>
      </c>
      <c r="K14" s="285">
        <f>SUM(K4:K13)</f>
        <v>229383.33333467334</v>
      </c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2"/>
  </sheetPr>
  <dimension ref="B2:O14"/>
  <sheetViews>
    <sheetView workbookViewId="0">
      <selection activeCell="M37" sqref="M37"/>
    </sheetView>
  </sheetViews>
  <sheetFormatPr defaultColWidth="9.109375" defaultRowHeight="13.8" outlineLevelCol="1"/>
  <cols>
    <col min="1" max="1" width="2.33203125" style="389" customWidth="1"/>
    <col min="2" max="2" width="4.109375" style="389" customWidth="1"/>
    <col min="3" max="3" width="40" style="389" bestFit="1" customWidth="1"/>
    <col min="4" max="4" width="9" style="389" hidden="1" customWidth="1" outlineLevel="1"/>
    <col min="5" max="5" width="9.6640625" style="389" hidden="1" customWidth="1" outlineLevel="1"/>
    <col min="6" max="6" width="10.33203125" style="389" hidden="1" customWidth="1" outlineLevel="1"/>
    <col min="7" max="7" width="9.44140625" style="389" hidden="1" customWidth="1" outlineLevel="1"/>
    <col min="8" max="8" width="10.44140625" style="389" customWidth="1" collapsed="1"/>
    <col min="9" max="9" width="9.5546875" style="389" customWidth="1"/>
    <col min="10" max="10" width="8.109375" style="389" customWidth="1"/>
    <col min="11" max="11" width="12.33203125" style="389" customWidth="1"/>
    <col min="12" max="12" width="6.109375" style="389" customWidth="1"/>
    <col min="13" max="13" width="6.44140625" style="389" customWidth="1"/>
    <col min="14" max="15" width="9.21875" style="389" customWidth="1"/>
    <col min="16" max="16" width="2" style="389" customWidth="1"/>
    <col min="17" max="16384" width="9.109375" style="389"/>
  </cols>
  <sheetData>
    <row r="2" spans="2:15" ht="18">
      <c r="B2" s="406" t="s">
        <v>264</v>
      </c>
      <c r="C2" s="406"/>
      <c r="D2" s="406"/>
      <c r="E2" s="406"/>
      <c r="F2" s="406"/>
      <c r="G2" s="406"/>
      <c r="H2" s="406"/>
      <c r="I2" s="406"/>
      <c r="J2" s="406"/>
      <c r="K2" s="407" t="s">
        <v>132</v>
      </c>
      <c r="L2" s="388"/>
      <c r="M2" s="388"/>
      <c r="N2" s="388"/>
      <c r="O2" s="388"/>
    </row>
    <row r="3" spans="2:15" ht="41.4">
      <c r="B3" s="390" t="s">
        <v>69</v>
      </c>
      <c r="C3" s="391" t="s">
        <v>204</v>
      </c>
      <c r="D3" s="392" t="s">
        <v>186</v>
      </c>
      <c r="E3" s="392" t="s">
        <v>216</v>
      </c>
      <c r="F3" s="392" t="s">
        <v>205</v>
      </c>
      <c r="G3" s="392" t="s">
        <v>206</v>
      </c>
      <c r="H3" s="392" t="s">
        <v>141</v>
      </c>
      <c r="I3" s="392" t="s">
        <v>207</v>
      </c>
      <c r="J3" s="392" t="s">
        <v>208</v>
      </c>
      <c r="K3" s="392" t="s">
        <v>209</v>
      </c>
      <c r="L3" s="392" t="s">
        <v>255</v>
      </c>
      <c r="M3" s="392" t="s">
        <v>254</v>
      </c>
      <c r="N3" s="392" t="s">
        <v>253</v>
      </c>
      <c r="O3" s="392" t="s">
        <v>252</v>
      </c>
    </row>
    <row r="4" spans="2:15">
      <c r="B4" s="393">
        <v>1</v>
      </c>
      <c r="C4" s="393" t="s">
        <v>218</v>
      </c>
      <c r="D4" s="394">
        <v>12.0000000001</v>
      </c>
      <c r="E4" s="395">
        <v>52500</v>
      </c>
      <c r="F4" s="396">
        <f t="shared" ref="F4:F12" si="0">D4*E4</f>
        <v>630000.00000524998</v>
      </c>
      <c r="G4" s="395">
        <v>10000</v>
      </c>
      <c r="H4" s="396">
        <f t="shared" ref="H4:H12" si="1">F4-G4</f>
        <v>620000.00000524998</v>
      </c>
      <c r="I4" s="395">
        <v>5</v>
      </c>
      <c r="J4" s="397">
        <f t="shared" ref="J4:J12" si="2">1/I4</f>
        <v>0.2</v>
      </c>
      <c r="K4" s="396">
        <f t="shared" ref="K4:K12" si="3">H4*J4</f>
        <v>124000.00000105001</v>
      </c>
      <c r="L4" s="398">
        <v>1</v>
      </c>
      <c r="M4" s="398">
        <f t="shared" ref="M4:M12" si="4">1-L4</f>
        <v>0</v>
      </c>
      <c r="N4" s="396">
        <f t="shared" ref="N4:N12" si="5">K4*L4</f>
        <v>124000.00000105001</v>
      </c>
      <c r="O4" s="396">
        <f t="shared" ref="O4:O12" si="6">K4*M4</f>
        <v>0</v>
      </c>
    </row>
    <row r="5" spans="2:15">
      <c r="B5" s="393">
        <v>2</v>
      </c>
      <c r="C5" s="393" t="s">
        <v>219</v>
      </c>
      <c r="D5" s="394">
        <v>12.0000000001</v>
      </c>
      <c r="E5" s="395">
        <v>14400</v>
      </c>
      <c r="F5" s="396">
        <f t="shared" si="0"/>
        <v>172800.00000144</v>
      </c>
      <c r="G5" s="395">
        <v>10000</v>
      </c>
      <c r="H5" s="396">
        <f t="shared" si="1"/>
        <v>162800.00000144</v>
      </c>
      <c r="I5" s="395">
        <v>8</v>
      </c>
      <c r="J5" s="397">
        <f t="shared" si="2"/>
        <v>0.125</v>
      </c>
      <c r="K5" s="396">
        <f t="shared" si="3"/>
        <v>20350.00000018</v>
      </c>
      <c r="L5" s="398">
        <v>1</v>
      </c>
      <c r="M5" s="398">
        <f t="shared" si="4"/>
        <v>0</v>
      </c>
      <c r="N5" s="396">
        <f t="shared" si="5"/>
        <v>20350.00000018</v>
      </c>
      <c r="O5" s="396">
        <f t="shared" si="6"/>
        <v>0</v>
      </c>
    </row>
    <row r="6" spans="2:15">
      <c r="B6" s="393">
        <v>3</v>
      </c>
      <c r="C6" s="393" t="s">
        <v>217</v>
      </c>
      <c r="D6" s="395">
        <f>12*10000/6</f>
        <v>20000</v>
      </c>
      <c r="E6" s="394">
        <v>4.5</v>
      </c>
      <c r="F6" s="396">
        <f t="shared" si="0"/>
        <v>90000</v>
      </c>
      <c r="G6" s="395">
        <v>0</v>
      </c>
      <c r="H6" s="396">
        <f t="shared" si="1"/>
        <v>90000</v>
      </c>
      <c r="I6" s="395">
        <v>5</v>
      </c>
      <c r="J6" s="397">
        <f t="shared" si="2"/>
        <v>0.2</v>
      </c>
      <c r="K6" s="396">
        <f t="shared" si="3"/>
        <v>18000</v>
      </c>
      <c r="L6" s="398">
        <v>1</v>
      </c>
      <c r="M6" s="398">
        <f t="shared" si="4"/>
        <v>0</v>
      </c>
      <c r="N6" s="396">
        <f t="shared" si="5"/>
        <v>18000</v>
      </c>
      <c r="O6" s="396">
        <f t="shared" si="6"/>
        <v>0</v>
      </c>
    </row>
    <row r="7" spans="2:15">
      <c r="B7" s="393">
        <v>4</v>
      </c>
      <c r="C7" s="393" t="s">
        <v>210</v>
      </c>
      <c r="D7" s="394">
        <v>12.0000000001</v>
      </c>
      <c r="E7" s="395">
        <v>22000</v>
      </c>
      <c r="F7" s="396">
        <f t="shared" si="0"/>
        <v>264000.00000220002</v>
      </c>
      <c r="G7" s="395">
        <v>200000</v>
      </c>
      <c r="H7" s="396">
        <f t="shared" si="1"/>
        <v>64000.000002200017</v>
      </c>
      <c r="I7" s="395">
        <v>20</v>
      </c>
      <c r="J7" s="397">
        <f t="shared" si="2"/>
        <v>0.05</v>
      </c>
      <c r="K7" s="396">
        <f t="shared" si="3"/>
        <v>3200.0000001100011</v>
      </c>
      <c r="L7" s="398">
        <v>0.67</v>
      </c>
      <c r="M7" s="398">
        <f t="shared" si="4"/>
        <v>0.32999999999999996</v>
      </c>
      <c r="N7" s="396">
        <f t="shared" si="5"/>
        <v>2144.0000000737009</v>
      </c>
      <c r="O7" s="396">
        <f t="shared" si="6"/>
        <v>1056.0000000363002</v>
      </c>
    </row>
    <row r="8" spans="2:15">
      <c r="B8" s="393">
        <v>5</v>
      </c>
      <c r="C8" s="393" t="s">
        <v>211</v>
      </c>
      <c r="D8" s="394">
        <v>1</v>
      </c>
      <c r="E8" s="395">
        <v>95000</v>
      </c>
      <c r="F8" s="396">
        <f t="shared" si="0"/>
        <v>95000</v>
      </c>
      <c r="G8" s="395">
        <v>0</v>
      </c>
      <c r="H8" s="396">
        <f t="shared" si="1"/>
        <v>95000</v>
      </c>
      <c r="I8" s="395">
        <v>5</v>
      </c>
      <c r="J8" s="397">
        <f t="shared" si="2"/>
        <v>0.2</v>
      </c>
      <c r="K8" s="396">
        <f t="shared" si="3"/>
        <v>19000</v>
      </c>
      <c r="L8" s="398">
        <v>0.67</v>
      </c>
      <c r="M8" s="398">
        <f t="shared" si="4"/>
        <v>0.32999999999999996</v>
      </c>
      <c r="N8" s="396">
        <f t="shared" si="5"/>
        <v>12730</v>
      </c>
      <c r="O8" s="396">
        <f t="shared" si="6"/>
        <v>6269.9999999999991</v>
      </c>
    </row>
    <row r="9" spans="2:15">
      <c r="B9" s="393">
        <v>6</v>
      </c>
      <c r="C9" s="393" t="s">
        <v>212</v>
      </c>
      <c r="D9" s="394">
        <v>1</v>
      </c>
      <c r="E9" s="395">
        <v>200000</v>
      </c>
      <c r="F9" s="396">
        <f t="shared" si="0"/>
        <v>200000</v>
      </c>
      <c r="G9" s="395">
        <v>0</v>
      </c>
      <c r="H9" s="396">
        <f t="shared" si="1"/>
        <v>200000</v>
      </c>
      <c r="I9" s="395">
        <v>8</v>
      </c>
      <c r="J9" s="397">
        <f t="shared" si="2"/>
        <v>0.125</v>
      </c>
      <c r="K9" s="396">
        <f t="shared" si="3"/>
        <v>25000</v>
      </c>
      <c r="L9" s="398">
        <v>0.67</v>
      </c>
      <c r="M9" s="398">
        <f t="shared" si="4"/>
        <v>0.32999999999999996</v>
      </c>
      <c r="N9" s="396">
        <f t="shared" si="5"/>
        <v>16750</v>
      </c>
      <c r="O9" s="396">
        <f t="shared" si="6"/>
        <v>8249.9999999999982</v>
      </c>
    </row>
    <row r="10" spans="2:15">
      <c r="B10" s="393">
        <v>7</v>
      </c>
      <c r="C10" s="393" t="s">
        <v>213</v>
      </c>
      <c r="D10" s="394">
        <v>1</v>
      </c>
      <c r="E10" s="395">
        <v>90000</v>
      </c>
      <c r="F10" s="396">
        <f t="shared" si="0"/>
        <v>90000</v>
      </c>
      <c r="G10" s="395">
        <v>10000</v>
      </c>
      <c r="H10" s="396">
        <f t="shared" si="1"/>
        <v>80000</v>
      </c>
      <c r="I10" s="395">
        <v>12</v>
      </c>
      <c r="J10" s="397">
        <f t="shared" si="2"/>
        <v>8.3333333333333329E-2</v>
      </c>
      <c r="K10" s="396">
        <f t="shared" si="3"/>
        <v>6666.6666666666661</v>
      </c>
      <c r="L10" s="398">
        <v>0.67</v>
      </c>
      <c r="M10" s="398">
        <f t="shared" si="4"/>
        <v>0.32999999999999996</v>
      </c>
      <c r="N10" s="396">
        <f t="shared" si="5"/>
        <v>4466.666666666667</v>
      </c>
      <c r="O10" s="396">
        <f t="shared" si="6"/>
        <v>2199.9999999999995</v>
      </c>
    </row>
    <row r="11" spans="2:15">
      <c r="B11" s="393">
        <v>8</v>
      </c>
      <c r="C11" s="393" t="s">
        <v>214</v>
      </c>
      <c r="D11" s="394">
        <v>2</v>
      </c>
      <c r="E11" s="395">
        <v>60000</v>
      </c>
      <c r="F11" s="396">
        <f t="shared" si="0"/>
        <v>120000</v>
      </c>
      <c r="G11" s="395">
        <v>10000</v>
      </c>
      <c r="H11" s="396">
        <f t="shared" si="1"/>
        <v>110000</v>
      </c>
      <c r="I11" s="395">
        <v>12</v>
      </c>
      <c r="J11" s="397">
        <f t="shared" si="2"/>
        <v>8.3333333333333329E-2</v>
      </c>
      <c r="K11" s="396">
        <f t="shared" si="3"/>
        <v>9166.6666666666661</v>
      </c>
      <c r="L11" s="398">
        <v>0.67</v>
      </c>
      <c r="M11" s="398">
        <f t="shared" si="4"/>
        <v>0.32999999999999996</v>
      </c>
      <c r="N11" s="396">
        <f t="shared" si="5"/>
        <v>6141.666666666667</v>
      </c>
      <c r="O11" s="396">
        <f t="shared" si="6"/>
        <v>3024.9999999999995</v>
      </c>
    </row>
    <row r="12" spans="2:15">
      <c r="B12" s="393">
        <v>9</v>
      </c>
      <c r="C12" s="393" t="s">
        <v>215</v>
      </c>
      <c r="D12" s="394">
        <v>1</v>
      </c>
      <c r="E12" s="395">
        <v>40000</v>
      </c>
      <c r="F12" s="396">
        <f t="shared" si="0"/>
        <v>40000</v>
      </c>
      <c r="G12" s="395">
        <v>0</v>
      </c>
      <c r="H12" s="396">
        <f t="shared" si="1"/>
        <v>40000</v>
      </c>
      <c r="I12" s="395">
        <v>10</v>
      </c>
      <c r="J12" s="397">
        <f t="shared" si="2"/>
        <v>0.1</v>
      </c>
      <c r="K12" s="396">
        <f t="shared" si="3"/>
        <v>4000</v>
      </c>
      <c r="L12" s="398">
        <v>0.67</v>
      </c>
      <c r="M12" s="398">
        <f t="shared" si="4"/>
        <v>0.32999999999999996</v>
      </c>
      <c r="N12" s="396">
        <f t="shared" si="5"/>
        <v>2680</v>
      </c>
      <c r="O12" s="396">
        <f t="shared" si="6"/>
        <v>1319.9999999999998</v>
      </c>
    </row>
    <row r="13" spans="2:15">
      <c r="B13" s="393"/>
      <c r="C13" s="393"/>
      <c r="D13" s="394"/>
      <c r="E13" s="395"/>
      <c r="F13" s="396"/>
      <c r="G13" s="395"/>
      <c r="H13" s="396"/>
      <c r="I13" s="399"/>
      <c r="J13" s="397"/>
      <c r="K13" s="396"/>
      <c r="L13" s="396"/>
      <c r="M13" s="396"/>
      <c r="N13" s="396"/>
      <c r="O13" s="396"/>
    </row>
    <row r="14" spans="2:15">
      <c r="B14" s="393"/>
      <c r="C14" s="400" t="s">
        <v>201</v>
      </c>
      <c r="D14" s="401"/>
      <c r="E14" s="402"/>
      <c r="F14" s="403">
        <f>SUM(F4:F13)</f>
        <v>1701800.0000088899</v>
      </c>
      <c r="G14" s="403">
        <f>SUM(G4:G13)</f>
        <v>240000</v>
      </c>
      <c r="H14" s="403">
        <f>SUM(H4:H13)</f>
        <v>1461800.0000088899</v>
      </c>
      <c r="I14" s="393"/>
      <c r="J14" s="404" t="s">
        <v>144</v>
      </c>
      <c r="K14" s="405">
        <f>SUM(K4:K13)</f>
        <v>229383.33333467334</v>
      </c>
      <c r="L14" s="405"/>
      <c r="M14" s="405"/>
      <c r="N14" s="405">
        <f>SUM(N4:N13)</f>
        <v>207262.33333463702</v>
      </c>
      <c r="O14" s="405">
        <f>SUM(O4:O13)</f>
        <v>22121.000000036296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9900"/>
  </sheetPr>
  <dimension ref="B2:F8"/>
  <sheetViews>
    <sheetView workbookViewId="0">
      <selection activeCell="M37" sqref="M37"/>
    </sheetView>
  </sheetViews>
  <sheetFormatPr defaultColWidth="9.109375" defaultRowHeight="13.8"/>
  <cols>
    <col min="1" max="1" width="2.33203125" style="246" customWidth="1"/>
    <col min="2" max="2" width="4.109375" style="246" customWidth="1"/>
    <col min="3" max="3" width="42.88671875" style="246" bestFit="1" customWidth="1"/>
    <col min="4" max="4" width="10.33203125" style="246" bestFit="1" customWidth="1"/>
    <col min="5" max="5" width="8.109375" style="246" customWidth="1"/>
    <col min="6" max="6" width="12.33203125" style="246" customWidth="1"/>
    <col min="7" max="7" width="2" style="246" customWidth="1"/>
    <col min="8" max="16384" width="9.109375" style="246"/>
  </cols>
  <sheetData>
    <row r="2" spans="2:6" ht="18">
      <c r="B2" s="371" t="s">
        <v>235</v>
      </c>
      <c r="C2" s="371"/>
      <c r="D2" s="371"/>
      <c r="E2" s="371"/>
      <c r="F2" s="380" t="s">
        <v>132</v>
      </c>
    </row>
    <row r="3" spans="2:6" ht="27.6">
      <c r="B3" s="381" t="s">
        <v>69</v>
      </c>
      <c r="C3" s="382" t="s">
        <v>222</v>
      </c>
      <c r="D3" s="251" t="s">
        <v>223</v>
      </c>
      <c r="E3" s="251" t="s">
        <v>224</v>
      </c>
      <c r="F3" s="251" t="s">
        <v>225</v>
      </c>
    </row>
    <row r="4" spans="2:6">
      <c r="B4" s="55">
        <v>1</v>
      </c>
      <c r="C4" s="55" t="s">
        <v>227</v>
      </c>
      <c r="D4" s="383">
        <v>1600000</v>
      </c>
      <c r="E4" s="255">
        <v>0.12</v>
      </c>
      <c r="F4" s="376">
        <f>D4*E4</f>
        <v>192000</v>
      </c>
    </row>
    <row r="5" spans="2:6">
      <c r="B5" s="55">
        <v>2</v>
      </c>
      <c r="C5" s="55" t="s">
        <v>226</v>
      </c>
      <c r="D5" s="383">
        <v>100000</v>
      </c>
      <c r="E5" s="255">
        <v>0.24</v>
      </c>
      <c r="F5" s="376">
        <f>D5*E5</f>
        <v>24000</v>
      </c>
    </row>
    <row r="6" spans="2:6">
      <c r="B6" s="55">
        <v>3</v>
      </c>
      <c r="C6" s="55"/>
      <c r="D6" s="383">
        <v>0</v>
      </c>
      <c r="E6" s="255"/>
      <c r="F6" s="376">
        <f>D6*E6</f>
        <v>0</v>
      </c>
    </row>
    <row r="7" spans="2:6">
      <c r="B7" s="55"/>
      <c r="C7" s="55"/>
      <c r="D7" s="383"/>
      <c r="E7" s="384"/>
      <c r="F7" s="376"/>
    </row>
    <row r="8" spans="2:6">
      <c r="B8" s="55"/>
      <c r="C8" s="278" t="s">
        <v>201</v>
      </c>
      <c r="D8" s="281">
        <f>SUM(D4:D7)</f>
        <v>1700000</v>
      </c>
      <c r="E8" s="387" t="s">
        <v>148</v>
      </c>
      <c r="F8" s="285">
        <f>SUM(F4:F7)</f>
        <v>216000</v>
      </c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9900"/>
  </sheetPr>
  <dimension ref="B2:G22"/>
  <sheetViews>
    <sheetView workbookViewId="0">
      <selection activeCell="M37" sqref="M37"/>
    </sheetView>
  </sheetViews>
  <sheetFormatPr defaultRowHeight="13.8"/>
  <cols>
    <col min="1" max="1" width="2.6640625" style="22" customWidth="1"/>
    <col min="2" max="2" width="14.88671875" style="22" customWidth="1"/>
    <col min="3" max="3" width="11.33203125" style="22" bestFit="1" customWidth="1"/>
    <col min="4" max="4" width="10.6640625" style="22" customWidth="1"/>
    <col min="5" max="5" width="8.21875" style="22" customWidth="1"/>
    <col min="6" max="6" width="8.109375" style="22" customWidth="1"/>
    <col min="7" max="7" width="14.21875" style="22" bestFit="1" customWidth="1"/>
    <col min="8" max="8" width="3.44140625" style="22" customWidth="1"/>
    <col min="9" max="16384" width="8.88671875" style="22"/>
  </cols>
  <sheetData>
    <row r="2" spans="2:7" ht="18">
      <c r="B2" s="408" t="s">
        <v>272</v>
      </c>
      <c r="C2" s="70"/>
      <c r="D2" s="70"/>
      <c r="E2" s="70"/>
      <c r="F2" s="70"/>
      <c r="G2" s="70"/>
    </row>
    <row r="3" spans="2:7">
      <c r="B3" s="41" t="s">
        <v>273</v>
      </c>
      <c r="C3" s="42" t="s">
        <v>271</v>
      </c>
      <c r="D3" s="74" t="s">
        <v>274</v>
      </c>
      <c r="E3" s="36"/>
      <c r="F3" s="36"/>
      <c r="G3" s="25"/>
    </row>
    <row r="4" spans="2:7">
      <c r="B4" s="33" t="s">
        <v>149</v>
      </c>
      <c r="C4" s="75" t="s">
        <v>150</v>
      </c>
      <c r="D4" s="75" t="s">
        <v>151</v>
      </c>
      <c r="E4" s="30" t="s">
        <v>188</v>
      </c>
      <c r="F4" s="30" t="s">
        <v>280</v>
      </c>
      <c r="G4" s="28" t="s">
        <v>279</v>
      </c>
    </row>
    <row r="5" spans="2:7">
      <c r="B5" s="27" t="s">
        <v>152</v>
      </c>
      <c r="C5" s="44">
        <v>0.6</v>
      </c>
      <c r="D5" s="45">
        <f>C5*D7</f>
        <v>120</v>
      </c>
      <c r="E5" s="67">
        <f>E7-E6</f>
        <v>15.2</v>
      </c>
      <c r="F5" s="61">
        <f>E5/D5</f>
        <v>0.12666666666666665</v>
      </c>
      <c r="G5" s="31" t="s">
        <v>265</v>
      </c>
    </row>
    <row r="6" spans="2:7">
      <c r="B6" s="27" t="s">
        <v>155</v>
      </c>
      <c r="C6" s="46">
        <f>C7-C5</f>
        <v>0.4</v>
      </c>
      <c r="D6" s="45">
        <f>C6*D7</f>
        <v>80</v>
      </c>
      <c r="E6" s="45">
        <f>D6*F6</f>
        <v>4.8</v>
      </c>
      <c r="F6" s="65">
        <v>0.06</v>
      </c>
      <c r="G6" s="66" t="s">
        <v>266</v>
      </c>
    </row>
    <row r="7" spans="2:7">
      <c r="B7" s="35" t="s">
        <v>7</v>
      </c>
      <c r="C7" s="47">
        <v>1</v>
      </c>
      <c r="D7" s="48">
        <v>200</v>
      </c>
      <c r="E7" s="49">
        <f>D7*F7</f>
        <v>20</v>
      </c>
      <c r="F7" s="63">
        <v>0.1</v>
      </c>
      <c r="G7" s="50" t="s">
        <v>267</v>
      </c>
    </row>
    <row r="8" spans="2:7">
      <c r="B8" s="52"/>
      <c r="C8" s="52"/>
      <c r="D8" s="52"/>
      <c r="E8" s="52"/>
      <c r="F8" s="52"/>
      <c r="G8" s="52"/>
    </row>
    <row r="9" spans="2:7">
      <c r="B9" s="41" t="s">
        <v>273</v>
      </c>
      <c r="C9" s="53" t="s">
        <v>268</v>
      </c>
      <c r="D9" s="74" t="s">
        <v>275</v>
      </c>
      <c r="E9" s="36"/>
      <c r="F9" s="36"/>
      <c r="G9" s="25"/>
    </row>
    <row r="10" spans="2:7">
      <c r="B10" s="27" t="s">
        <v>152</v>
      </c>
      <c r="C10" s="46">
        <f>C5</f>
        <v>0.6</v>
      </c>
      <c r="D10" s="45">
        <f>C10*D12</f>
        <v>120</v>
      </c>
      <c r="E10" s="68">
        <f>E12-E11</f>
        <v>12</v>
      </c>
      <c r="F10" s="56">
        <f>E10/D10</f>
        <v>0.1</v>
      </c>
      <c r="G10" s="31" t="s">
        <v>265</v>
      </c>
    </row>
    <row r="11" spans="2:7">
      <c r="B11" s="27" t="s">
        <v>155</v>
      </c>
      <c r="C11" s="46">
        <f>C6</f>
        <v>0.4</v>
      </c>
      <c r="D11" s="45">
        <f>C11*D12</f>
        <v>80</v>
      </c>
      <c r="E11" s="45">
        <f>D11*F11</f>
        <v>8</v>
      </c>
      <c r="F11" s="65">
        <v>0.1</v>
      </c>
      <c r="G11" s="66" t="s">
        <v>266</v>
      </c>
    </row>
    <row r="12" spans="2:7">
      <c r="B12" s="35" t="s">
        <v>7</v>
      </c>
      <c r="C12" s="47">
        <f>SUM(C10:C11)</f>
        <v>1</v>
      </c>
      <c r="D12" s="49">
        <f>D7</f>
        <v>200</v>
      </c>
      <c r="E12" s="49">
        <f>D12*F12</f>
        <v>20</v>
      </c>
      <c r="F12" s="64">
        <f>F7</f>
        <v>0.1</v>
      </c>
      <c r="G12" s="50" t="s">
        <v>267</v>
      </c>
    </row>
    <row r="13" spans="2:7">
      <c r="B13" s="52"/>
      <c r="C13" s="52"/>
      <c r="D13" s="52"/>
      <c r="E13" s="52"/>
      <c r="F13" s="52"/>
      <c r="G13" s="52"/>
    </row>
    <row r="14" spans="2:7">
      <c r="B14" s="41" t="s">
        <v>273</v>
      </c>
      <c r="C14" s="57" t="s">
        <v>269</v>
      </c>
      <c r="D14" s="74" t="s">
        <v>276</v>
      </c>
      <c r="E14" s="36"/>
      <c r="F14" s="36"/>
      <c r="G14" s="25"/>
    </row>
    <row r="15" spans="2:7">
      <c r="B15" s="27" t="s">
        <v>152</v>
      </c>
      <c r="C15" s="46">
        <f>C5</f>
        <v>0.6</v>
      </c>
      <c r="D15" s="45">
        <f>C15*D17</f>
        <v>120</v>
      </c>
      <c r="E15" s="69">
        <f>E17-E16</f>
        <v>8.7999999999999989</v>
      </c>
      <c r="F15" s="62">
        <f>E15/D15</f>
        <v>7.333333333333332E-2</v>
      </c>
      <c r="G15" s="31" t="s">
        <v>265</v>
      </c>
    </row>
    <row r="16" spans="2:7">
      <c r="B16" s="27" t="s">
        <v>155</v>
      </c>
      <c r="C16" s="46">
        <f>C6</f>
        <v>0.4</v>
      </c>
      <c r="D16" s="45">
        <f>C16*D17</f>
        <v>80</v>
      </c>
      <c r="E16" s="45">
        <f>D16*F16</f>
        <v>11.200000000000001</v>
      </c>
      <c r="F16" s="65">
        <v>0.14000000000000001</v>
      </c>
      <c r="G16" s="66" t="s">
        <v>266</v>
      </c>
    </row>
    <row r="17" spans="2:7">
      <c r="B17" s="35" t="s">
        <v>7</v>
      </c>
      <c r="C17" s="47">
        <f>SUM(C15:C16)</f>
        <v>1</v>
      </c>
      <c r="D17" s="49">
        <f>D7</f>
        <v>200</v>
      </c>
      <c r="E17" s="49">
        <f>D17*F17</f>
        <v>20</v>
      </c>
      <c r="F17" s="64">
        <f>F7</f>
        <v>0.1</v>
      </c>
      <c r="G17" s="50" t="s">
        <v>267</v>
      </c>
    </row>
    <row r="18" spans="2:7">
      <c r="B18" s="52"/>
      <c r="C18" s="52"/>
      <c r="D18" s="52"/>
      <c r="E18" s="52"/>
      <c r="F18" s="52"/>
      <c r="G18" s="52"/>
    </row>
    <row r="19" spans="2:7">
      <c r="B19" s="41" t="s">
        <v>273</v>
      </c>
      <c r="C19" s="71" t="s">
        <v>277</v>
      </c>
      <c r="D19" s="74" t="s">
        <v>278</v>
      </c>
      <c r="E19" s="36"/>
      <c r="F19" s="36"/>
      <c r="G19" s="25"/>
    </row>
    <row r="20" spans="2:7">
      <c r="B20" s="27" t="s">
        <v>152</v>
      </c>
      <c r="C20" s="46">
        <f>C10</f>
        <v>0.6</v>
      </c>
      <c r="D20" s="45">
        <f>C20*D22</f>
        <v>120</v>
      </c>
      <c r="E20" s="72">
        <f>E22-E21</f>
        <v>0</v>
      </c>
      <c r="F20" s="73">
        <f>E20/D20</f>
        <v>0</v>
      </c>
      <c r="G20" s="31" t="s">
        <v>265</v>
      </c>
    </row>
    <row r="21" spans="2:7">
      <c r="B21" s="27" t="s">
        <v>155</v>
      </c>
      <c r="C21" s="46">
        <f>C11</f>
        <v>0.4</v>
      </c>
      <c r="D21" s="45">
        <f>C21*D22</f>
        <v>80</v>
      </c>
      <c r="E21" s="45">
        <f>D21*F21</f>
        <v>20</v>
      </c>
      <c r="F21" s="65">
        <v>0.25</v>
      </c>
      <c r="G21" s="66" t="s">
        <v>266</v>
      </c>
    </row>
    <row r="22" spans="2:7">
      <c r="B22" s="35" t="s">
        <v>7</v>
      </c>
      <c r="C22" s="47">
        <f>SUM(C20:C21)</f>
        <v>1</v>
      </c>
      <c r="D22" s="49">
        <f>D12</f>
        <v>200</v>
      </c>
      <c r="E22" s="49">
        <f>D22*F22</f>
        <v>20</v>
      </c>
      <c r="F22" s="64">
        <f>F12</f>
        <v>0.1</v>
      </c>
      <c r="G22" s="50" t="s">
        <v>267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52"/>
  </sheetPr>
  <dimension ref="B2:G14"/>
  <sheetViews>
    <sheetView workbookViewId="0">
      <selection activeCell="E20" sqref="E20"/>
    </sheetView>
  </sheetViews>
  <sheetFormatPr defaultColWidth="9.109375" defaultRowHeight="13.8"/>
  <cols>
    <col min="1" max="1" width="2.33203125" style="389" customWidth="1"/>
    <col min="2" max="2" width="4.109375" style="389" customWidth="1"/>
    <col min="3" max="3" width="42.88671875" style="389" bestFit="1" customWidth="1"/>
    <col min="4" max="4" width="12.44140625" style="389" customWidth="1"/>
    <col min="5" max="5" width="9.21875" style="389" customWidth="1"/>
    <col min="6" max="6" width="3.88671875" style="389" bestFit="1" customWidth="1"/>
    <col min="7" max="7" width="12.33203125" style="389" customWidth="1"/>
    <col min="8" max="8" width="2" style="389" customWidth="1"/>
    <col min="9" max="16384" width="9.109375" style="389"/>
  </cols>
  <sheetData>
    <row r="2" spans="2:7" ht="18">
      <c r="B2" s="411" t="s">
        <v>249</v>
      </c>
      <c r="C2" s="412"/>
      <c r="D2" s="412"/>
      <c r="E2" s="412"/>
      <c r="F2" s="412"/>
      <c r="G2" s="413" t="s">
        <v>251</v>
      </c>
    </row>
    <row r="3" spans="2:7" ht="27.6">
      <c r="B3" s="446" t="s">
        <v>69</v>
      </c>
      <c r="C3" s="447" t="s">
        <v>236</v>
      </c>
      <c r="D3" s="448" t="s">
        <v>237</v>
      </c>
      <c r="E3" s="448" t="s">
        <v>238</v>
      </c>
      <c r="F3" s="448"/>
      <c r="G3" s="448" t="s">
        <v>239</v>
      </c>
    </row>
    <row r="4" spans="2:7">
      <c r="B4" s="393">
        <v>1</v>
      </c>
      <c r="C4" s="393" t="s">
        <v>240</v>
      </c>
      <c r="D4" s="395">
        <v>235000</v>
      </c>
      <c r="E4" s="409">
        <v>12</v>
      </c>
      <c r="F4" s="410"/>
      <c r="G4" s="396">
        <f t="shared" ref="G4:G13" si="0">D4*E4</f>
        <v>2820000</v>
      </c>
    </row>
    <row r="5" spans="2:7">
      <c r="B5" s="393">
        <v>2</v>
      </c>
      <c r="C5" s="393" t="s">
        <v>241</v>
      </c>
      <c r="D5" s="395">
        <f>40%*D4</f>
        <v>94000</v>
      </c>
      <c r="E5" s="409">
        <v>12</v>
      </c>
      <c r="F5" s="410"/>
      <c r="G5" s="396">
        <f t="shared" si="0"/>
        <v>1128000</v>
      </c>
    </row>
    <row r="6" spans="2:7">
      <c r="B6" s="393">
        <v>3</v>
      </c>
      <c r="C6" s="393" t="s">
        <v>242</v>
      </c>
      <c r="D6" s="395">
        <v>100000</v>
      </c>
      <c r="E6" s="409">
        <v>12</v>
      </c>
      <c r="F6" s="410"/>
      <c r="G6" s="396">
        <f t="shared" si="0"/>
        <v>1200000</v>
      </c>
    </row>
    <row r="7" spans="2:7">
      <c r="B7" s="393">
        <v>4</v>
      </c>
      <c r="C7" s="393" t="s">
        <v>243</v>
      </c>
      <c r="D7" s="395">
        <v>168000</v>
      </c>
      <c r="E7" s="409">
        <v>12</v>
      </c>
      <c r="F7" s="410"/>
      <c r="G7" s="396">
        <f t="shared" si="0"/>
        <v>2016000</v>
      </c>
    </row>
    <row r="8" spans="2:7">
      <c r="B8" s="393">
        <v>5</v>
      </c>
      <c r="C8" s="393" t="s">
        <v>244</v>
      </c>
      <c r="D8" s="395">
        <v>34900</v>
      </c>
      <c r="E8" s="409">
        <v>12</v>
      </c>
      <c r="F8" s="410"/>
      <c r="G8" s="396">
        <f t="shared" si="0"/>
        <v>418800</v>
      </c>
    </row>
    <row r="9" spans="2:7">
      <c r="B9" s="393">
        <v>6</v>
      </c>
      <c r="C9" s="393" t="s">
        <v>245</v>
      </c>
      <c r="D9" s="395">
        <v>60000</v>
      </c>
      <c r="E9" s="409">
        <v>3</v>
      </c>
      <c r="F9" s="410"/>
      <c r="G9" s="396">
        <f t="shared" si="0"/>
        <v>180000</v>
      </c>
    </row>
    <row r="10" spans="2:7">
      <c r="B10" s="393">
        <v>7</v>
      </c>
      <c r="C10" s="393" t="s">
        <v>246</v>
      </c>
      <c r="D10" s="395">
        <v>236000</v>
      </c>
      <c r="E10" s="409">
        <v>12</v>
      </c>
      <c r="F10" s="410"/>
      <c r="G10" s="396">
        <f t="shared" si="0"/>
        <v>2832000</v>
      </c>
    </row>
    <row r="11" spans="2:7">
      <c r="B11" s="393">
        <v>8</v>
      </c>
      <c r="C11" s="393" t="s">
        <v>247</v>
      </c>
      <c r="D11" s="395">
        <f>21%*67800</f>
        <v>14238</v>
      </c>
      <c r="E11" s="409">
        <v>12</v>
      </c>
      <c r="F11" s="410"/>
      <c r="G11" s="396">
        <f t="shared" si="0"/>
        <v>170856</v>
      </c>
    </row>
    <row r="12" spans="2:7">
      <c r="B12" s="393">
        <v>9</v>
      </c>
      <c r="C12" s="393" t="s">
        <v>250</v>
      </c>
      <c r="D12" s="395">
        <v>420000</v>
      </c>
      <c r="E12" s="409">
        <v>2</v>
      </c>
      <c r="F12" s="410"/>
      <c r="G12" s="396">
        <f t="shared" si="0"/>
        <v>840000</v>
      </c>
    </row>
    <row r="13" spans="2:7">
      <c r="B13" s="393">
        <v>10</v>
      </c>
      <c r="C13" s="393" t="s">
        <v>248</v>
      </c>
      <c r="D13" s="395">
        <v>30000</v>
      </c>
      <c r="E13" s="409">
        <v>12</v>
      </c>
      <c r="F13" s="397"/>
      <c r="G13" s="396">
        <f t="shared" si="0"/>
        <v>360000</v>
      </c>
    </row>
    <row r="14" spans="2:7">
      <c r="B14" s="393"/>
      <c r="C14" s="400" t="s">
        <v>201</v>
      </c>
      <c r="D14" s="400"/>
      <c r="E14" s="400"/>
      <c r="F14" s="404" t="s">
        <v>160</v>
      </c>
      <c r="G14" s="405">
        <f>SUM(G4:G13)</f>
        <v>11965656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VC1 (food)</vt:lpstr>
      <vt:lpstr>VC1 (coffin)</vt:lpstr>
      <vt:lpstr>VC2 (tomato paste)</vt:lpstr>
      <vt:lpstr>VC3 (earring)</vt:lpstr>
      <vt:lpstr>FC1</vt:lpstr>
      <vt:lpstr>FC1 (NSA)</vt:lpstr>
      <vt:lpstr>FC2</vt:lpstr>
      <vt:lpstr>FC2 Leverage</vt:lpstr>
      <vt:lpstr>FC3</vt:lpstr>
      <vt:lpstr>Why cost accounting</vt:lpstr>
      <vt:lpstr>Bookkeeping</vt:lpstr>
      <vt:lpstr>Cost accounting</vt:lpstr>
      <vt:lpstr>Ex. 7 FC keys</vt:lpstr>
      <vt:lpstr>CB1 Tomato paste</vt:lpstr>
      <vt:lpstr>CB1 Bread</vt:lpstr>
      <vt:lpstr>'CB1 Bread'!ROE</vt:lpstr>
      <vt:lpstr>'CB1 Tomato paste'!ROE</vt:lpstr>
    </vt:vector>
  </TitlesOfParts>
  <Company>ACC Business Creation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van Lieshout</dc:creator>
  <cp:lastModifiedBy>Olivier van Lieshout</cp:lastModifiedBy>
  <dcterms:created xsi:type="dcterms:W3CDTF">2010-03-11T12:47:16Z</dcterms:created>
  <dcterms:modified xsi:type="dcterms:W3CDTF">2019-04-06T12:59:20Z</dcterms:modified>
</cp:coreProperties>
</file>