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c\Google Drive\Website\"/>
    </mc:Choice>
  </mc:AlternateContent>
  <bookViews>
    <workbookView xWindow="0" yWindow="0" windowWidth="23040" windowHeight="10344"/>
  </bookViews>
  <sheets>
    <sheet name="CB1 Maize farm (70 ha)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ROE" localSheetId="0">'CB1 Maize farm (70 ha)'!$N$2</definedName>
    <definedName name="ROE">#REF!</definedName>
  </definedNames>
  <calcPr calcId="171027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G8" i="1"/>
  <c r="C13" i="1"/>
  <c r="D13" i="1"/>
  <c r="E13" i="1"/>
  <c r="G13" i="1"/>
  <c r="C14" i="1"/>
  <c r="D14" i="1"/>
  <c r="E14" i="1"/>
  <c r="G14" i="1"/>
  <c r="C15" i="1"/>
  <c r="D15" i="1"/>
  <c r="E15" i="1"/>
  <c r="G15" i="1"/>
  <c r="C16" i="1"/>
  <c r="D16" i="1"/>
  <c r="E16" i="1"/>
  <c r="G16" i="1"/>
  <c r="G17" i="1"/>
  <c r="C19" i="1"/>
  <c r="D19" i="1"/>
  <c r="E19" i="1"/>
  <c r="G19" i="1"/>
  <c r="C20" i="1"/>
  <c r="D20" i="1"/>
  <c r="E20" i="1"/>
  <c r="G20" i="1"/>
  <c r="D21" i="1"/>
  <c r="E21" i="1"/>
  <c r="G21" i="1"/>
  <c r="E22" i="1"/>
  <c r="G22" i="1"/>
  <c r="E23" i="1"/>
  <c r="G23" i="1"/>
  <c r="G24" i="1"/>
  <c r="C26" i="1"/>
  <c r="D26" i="1"/>
  <c r="G26" i="1"/>
  <c r="C27" i="1"/>
  <c r="D27" i="1"/>
  <c r="G27" i="1"/>
  <c r="G28" i="1"/>
  <c r="G30" i="1"/>
  <c r="F9" i="1"/>
  <c r="G9" i="1"/>
  <c r="G10" i="1"/>
  <c r="G35" i="1"/>
  <c r="J13" i="1"/>
  <c r="J15" i="1"/>
  <c r="F13" i="1"/>
  <c r="F14" i="1"/>
  <c r="F15" i="1"/>
  <c r="F16" i="1"/>
  <c r="F17" i="1"/>
  <c r="F19" i="1"/>
  <c r="F20" i="1"/>
  <c r="F21" i="1"/>
  <c r="F22" i="1"/>
  <c r="F23" i="1"/>
  <c r="F24" i="1"/>
  <c r="J33" i="1"/>
  <c r="F26" i="1"/>
  <c r="F27" i="1"/>
  <c r="F28" i="1"/>
  <c r="F30" i="1"/>
  <c r="J18" i="1"/>
  <c r="J20" i="1"/>
  <c r="J22" i="1"/>
  <c r="J23" i="1"/>
  <c r="J24" i="1"/>
  <c r="J25" i="1"/>
  <c r="J26" i="1"/>
  <c r="J28" i="1"/>
  <c r="J30" i="1"/>
  <c r="G36" i="1"/>
  <c r="G37" i="1"/>
  <c r="G38" i="1"/>
  <c r="H38" i="1"/>
  <c r="H37" i="1"/>
  <c r="G11" i="1"/>
  <c r="G32" i="1"/>
  <c r="J35" i="1"/>
  <c r="J36" i="1"/>
  <c r="H36" i="1"/>
  <c r="H35" i="1"/>
  <c r="G33" i="1"/>
  <c r="J32" i="1"/>
  <c r="H30" i="1"/>
  <c r="E17" i="1"/>
  <c r="E24" i="1"/>
  <c r="E26" i="1"/>
  <c r="E27" i="1"/>
  <c r="E28" i="1"/>
  <c r="E30" i="1"/>
  <c r="K28" i="1"/>
  <c r="H28" i="1"/>
  <c r="H27" i="1"/>
  <c r="K26" i="1"/>
  <c r="H26" i="1"/>
  <c r="K25" i="1"/>
  <c r="K24" i="1"/>
  <c r="H24" i="1"/>
  <c r="K23" i="1"/>
  <c r="H23" i="1"/>
  <c r="H22" i="1"/>
  <c r="H21" i="1"/>
  <c r="K20" i="1"/>
  <c r="H20" i="1"/>
  <c r="H19" i="1"/>
  <c r="H17" i="1"/>
  <c r="H16" i="1"/>
  <c r="K15" i="1"/>
  <c r="H15" i="1"/>
  <c r="H14" i="1"/>
  <c r="H13" i="1"/>
  <c r="J7" i="1"/>
  <c r="J8" i="1"/>
  <c r="J9" i="1"/>
  <c r="J11" i="1"/>
  <c r="J10" i="1"/>
  <c r="H10" i="1"/>
  <c r="H9" i="1"/>
  <c r="K8" i="1"/>
  <c r="G7" i="1"/>
  <c r="G5" i="1"/>
  <c r="J5" i="1"/>
</calcChain>
</file>

<file path=xl/comments1.xml><?xml version="1.0" encoding="utf-8"?>
<comments xmlns="http://schemas.openxmlformats.org/spreadsheetml/2006/main">
  <authors>
    <author>Olivier van Lieshout</author>
    <author>olivier van lieshout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Olivier van Lieshout:</t>
        </r>
        <r>
          <rPr>
            <sz val="8"/>
            <color indexed="81"/>
            <rFont val="Tahoma"/>
            <family val="2"/>
          </rPr>
          <t xml:space="preserve">
Rate of Exchange
If ROE= 1 it is local currency</t>
        </r>
      </text>
    </comment>
    <comment ref="N2" authorId="1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= 720 in 2015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Storage, 200 ton 
Truck 20 ton</t>
        </r>
      </text>
    </comment>
    <comment ref="J29" authorId="1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Farm has Maize 25%
Potato 75%</t>
        </r>
      </text>
    </comment>
  </commentList>
</comments>
</file>

<file path=xl/sharedStrings.xml><?xml version="1.0" encoding="utf-8"?>
<sst xmlns="http://schemas.openxmlformats.org/spreadsheetml/2006/main" count="73" uniqueCount="73">
  <si>
    <t>CB1 MAIZE COOP PARWAMU, NYAMABUYE, RWANDA</t>
  </si>
  <si>
    <t>ROE</t>
  </si>
  <si>
    <t>CB1 DRIED WHITE MAIZE SHELLED IN 90 KG JUTE BAGS</t>
  </si>
  <si>
    <t>USD</t>
  </si>
  <si>
    <t>RWF</t>
  </si>
  <si>
    <t>hectares planted</t>
  </si>
  <si>
    <t>hectare</t>
  </si>
  <si>
    <t>Yield per hectare</t>
  </si>
  <si>
    <t>ton/hectare</t>
  </si>
  <si>
    <t>Harvests per year</t>
  </si>
  <si>
    <t>Quality grade finished product</t>
  </si>
  <si>
    <t>A-Export</t>
  </si>
  <si>
    <t>B-Local</t>
  </si>
  <si>
    <t>Waste</t>
  </si>
  <si>
    <t>per ton</t>
  </si>
  <si>
    <t>per year</t>
  </si>
  <si>
    <t>Percentage grade</t>
  </si>
  <si>
    <t>Total Revenue</t>
  </si>
  <si>
    <t>Price (delivered)</t>
  </si>
  <si>
    <t>Total Cost</t>
  </si>
  <si>
    <t>VC4 Transport Cost (dist; price/ton-km)</t>
  </si>
  <si>
    <t>Profit Before Tax</t>
  </si>
  <si>
    <t>VC4 Documentation &amp; Inspection</t>
  </si>
  <si>
    <t>Profit %</t>
  </si>
  <si>
    <t>P (Ex Farm)</t>
  </si>
  <si>
    <t>Cash flow</t>
  </si>
  <si>
    <t>qtty/hectare</t>
  </si>
  <si>
    <t>price</t>
  </si>
  <si>
    <t>total/hectare</t>
  </si>
  <si>
    <t>cost/farm</t>
  </si>
  <si>
    <t>cost/ton</t>
  </si>
  <si>
    <t>Seed kg</t>
  </si>
  <si>
    <t>Asset value</t>
  </si>
  <si>
    <t>Fertilizers (Urea, DAP, Lime) in ton</t>
  </si>
  <si>
    <t>Depreciation %</t>
  </si>
  <si>
    <t>Manure, compost, organic fertilizers in ton</t>
  </si>
  <si>
    <t>FC1</t>
  </si>
  <si>
    <t>Pesticides, herbicides (liters)</t>
  </si>
  <si>
    <t>VC1</t>
  </si>
  <si>
    <t>Debt (from SACCO)</t>
  </si>
  <si>
    <t>Hired labor cultivation, man days</t>
  </si>
  <si>
    <t>Interest rate</t>
  </si>
  <si>
    <t>Hired labor harvesting, shelling, man days</t>
  </si>
  <si>
    <t>FC2</t>
  </si>
  <si>
    <t>Tractor use (passes)</t>
  </si>
  <si>
    <t>Irrigation water, days</t>
  </si>
  <si>
    <t>Family size, in FTE</t>
  </si>
  <si>
    <t>Consumables, spare parts</t>
  </si>
  <si>
    <t>Family requirement (all costs)</t>
  </si>
  <si>
    <t>VC2</t>
  </si>
  <si>
    <t>Land rental</t>
  </si>
  <si>
    <t>Other overhead</t>
  </si>
  <si>
    <t>Cost of packaging A-grade (bag+label)</t>
  </si>
  <si>
    <t>FC3</t>
  </si>
  <si>
    <t>Cost of packaging B-grade</t>
  </si>
  <si>
    <t>VC3</t>
  </si>
  <si>
    <t>FC</t>
  </si>
  <si>
    <t>FC % attributed to product</t>
  </si>
  <si>
    <t>VC</t>
  </si>
  <si>
    <t>FC (attributed to product)</t>
  </si>
  <si>
    <t>Margin</t>
  </si>
  <si>
    <t>Contribution</t>
  </si>
  <si>
    <t>Margin %</t>
  </si>
  <si>
    <t>Quantity sold q (= hectare * yield * harvests)</t>
  </si>
  <si>
    <t>ton</t>
  </si>
  <si>
    <t>per/ton</t>
  </si>
  <si>
    <t>VC1,VC2,V3,VC4</t>
  </si>
  <si>
    <t>Break even volume (ton)</t>
  </si>
  <si>
    <t>FC / q</t>
  </si>
  <si>
    <t>Break even yield (ton/hectare)</t>
  </si>
  <si>
    <t>TC / q</t>
  </si>
  <si>
    <t>Profit / q</t>
  </si>
  <si>
    <r>
      <t xml:space="preserve">Note: figures in </t>
    </r>
    <r>
      <rPr>
        <b/>
        <i/>
        <sz val="9"/>
        <color indexed="12"/>
        <rFont val="Calibri"/>
        <family val="2"/>
        <scheme val="minor"/>
      </rPr>
      <t>blue</t>
    </r>
    <r>
      <rPr>
        <i/>
        <sz val="9"/>
        <rFont val="Calibri"/>
        <family val="2"/>
        <scheme val="minor"/>
      </rPr>
      <t xml:space="preserve"> are assumptions; figures in </t>
    </r>
    <r>
      <rPr>
        <b/>
        <i/>
        <sz val="9"/>
        <color indexed="14"/>
        <rFont val="Calibri"/>
        <family val="2"/>
        <scheme val="minor"/>
      </rPr>
      <t>pink</t>
    </r>
    <r>
      <rPr>
        <i/>
        <sz val="9"/>
        <rFont val="Calibri"/>
        <family val="2"/>
        <scheme val="minor"/>
      </rPr>
      <t xml:space="preserve"> are calculated in another sheet; figures in </t>
    </r>
    <r>
      <rPr>
        <b/>
        <i/>
        <sz val="9"/>
        <rFont val="Calibri"/>
        <family val="2"/>
        <scheme val="minor"/>
      </rPr>
      <t>black</t>
    </r>
    <r>
      <rPr>
        <i/>
        <sz val="9"/>
        <rFont val="Calibri"/>
        <family val="2"/>
        <scheme val="minor"/>
      </rPr>
      <t xml:space="preserve"> are formulas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</si>
</sst>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"/>
    <numFmt numFmtId="165" formatCode="#,##0.0;[Red]\-#,##0.0"/>
    <numFmt numFmtId="166" formatCode="_-* #,##0_-;\-* #,##0_-;_-* &quot;-&quot;??_-;_-@_-"/>
    <numFmt numFmtId="167" formatCode="#,##0_);[Red]\(#,##0\)"/>
    <numFmt numFmtId="168" formatCode="#,##0.0_);[Red]\(#,##0.0\)"/>
    <numFmt numFmtId="169" formatCode="#,##0\ &quot;km&quot;"/>
    <numFmt numFmtId="170" formatCode="#,##0\ &quot;/km&quot;"/>
    <numFmt numFmtId="171" formatCode="#,##0_ ;[Red]\-#,##0\ "/>
    <numFmt numFmtId="172" formatCode="0.0%"/>
    <numFmt numFmtId="173" formatCode="_-* #,##0.0_-;\-* #,##0.0_-;_-* &quot;-&quot;??_-;_-@_-"/>
  </numFmts>
  <fonts count="25" x14ac:knownFonts="1"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name val="MS Sans Serif"/>
    </font>
    <font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14"/>
      <name val="Calibri"/>
      <family val="2"/>
      <scheme val="minor"/>
    </font>
    <font>
      <b/>
      <i/>
      <sz val="9"/>
      <color indexed="12"/>
      <name val="Calibri"/>
      <family val="2"/>
      <scheme val="minor"/>
    </font>
    <font>
      <b/>
      <i/>
      <sz val="9"/>
      <color indexed="14"/>
      <name val="Calibri"/>
      <family val="2"/>
      <scheme val="minor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2" borderId="1" xfId="3" applyFont="1" applyFill="1" applyBorder="1"/>
    <xf numFmtId="0" fontId="4" fillId="2" borderId="2" xfId="3" applyFont="1" applyFill="1" applyBorder="1"/>
    <xf numFmtId="0" fontId="4" fillId="2" borderId="2" xfId="3" applyFont="1" applyFill="1" applyBorder="1" applyAlignment="1">
      <alignment horizontal="center"/>
    </xf>
    <xf numFmtId="0" fontId="5" fillId="2" borderId="2" xfId="3" applyFont="1" applyFill="1" applyBorder="1"/>
    <xf numFmtId="0" fontId="6" fillId="2" borderId="2" xfId="3" applyFont="1" applyFill="1" applyBorder="1" applyAlignment="1">
      <alignment horizontal="center"/>
    </xf>
    <xf numFmtId="0" fontId="5" fillId="2" borderId="3" xfId="3" applyFont="1" applyFill="1" applyBorder="1"/>
    <xf numFmtId="0" fontId="7" fillId="3" borderId="0" xfId="4" applyFont="1" applyFill="1"/>
    <xf numFmtId="0" fontId="8" fillId="4" borderId="1" xfId="4" applyFont="1" applyFill="1" applyBorder="1" applyAlignment="1">
      <alignment horizontal="center"/>
    </xf>
    <xf numFmtId="164" fontId="9" fillId="4" borderId="3" xfId="4" applyNumberFormat="1" applyFont="1" applyFill="1" applyBorder="1"/>
    <xf numFmtId="0" fontId="4" fillId="2" borderId="4" xfId="4" applyFont="1" applyFill="1" applyBorder="1"/>
    <xf numFmtId="0" fontId="5" fillId="2" borderId="0" xfId="4" applyFont="1" applyFill="1" applyBorder="1"/>
    <xf numFmtId="1" fontId="10" fillId="2" borderId="0" xfId="4" applyNumberFormat="1" applyFont="1" applyFill="1" applyBorder="1"/>
    <xf numFmtId="0" fontId="10" fillId="2" borderId="0" xfId="4" applyFont="1" applyFill="1" applyBorder="1"/>
    <xf numFmtId="0" fontId="10" fillId="2" borderId="5" xfId="4" applyFont="1" applyFill="1" applyBorder="1"/>
    <xf numFmtId="0" fontId="9" fillId="4" borderId="6" xfId="4" applyFont="1" applyFill="1" applyBorder="1" applyAlignment="1">
      <alignment horizontal="right"/>
    </xf>
    <xf numFmtId="0" fontId="9" fillId="4" borderId="7" xfId="4" applyFont="1" applyFill="1" applyBorder="1" applyAlignment="1">
      <alignment horizontal="right"/>
    </xf>
    <xf numFmtId="0" fontId="7" fillId="5" borderId="8" xfId="4" applyFont="1" applyFill="1" applyBorder="1"/>
    <xf numFmtId="0" fontId="11" fillId="0" borderId="9" xfId="4" applyFont="1" applyFill="1" applyBorder="1"/>
    <xf numFmtId="0" fontId="7" fillId="5" borderId="10" xfId="4" applyFont="1" applyFill="1" applyBorder="1"/>
    <xf numFmtId="164" fontId="11" fillId="0" borderId="9" xfId="4" applyNumberFormat="1" applyFont="1" applyFill="1" applyBorder="1"/>
    <xf numFmtId="0" fontId="7" fillId="5" borderId="11" xfId="4" applyFont="1" applyFill="1" applyBorder="1"/>
    <xf numFmtId="0" fontId="7" fillId="5" borderId="8" xfId="0" applyFont="1" applyFill="1" applyBorder="1" applyAlignment="1">
      <alignment horizontal="right"/>
    </xf>
    <xf numFmtId="165" fontId="13" fillId="0" borderId="9" xfId="1" applyNumberFormat="1" applyFont="1" applyFill="1" applyBorder="1" applyAlignment="1">
      <alignment horizontal="center"/>
    </xf>
    <xf numFmtId="166" fontId="8" fillId="5" borderId="11" xfId="1" applyNumberFormat="1" applyFont="1" applyFill="1" applyBorder="1"/>
    <xf numFmtId="0" fontId="7" fillId="3" borderId="0" xfId="0" applyFont="1" applyFill="1"/>
    <xf numFmtId="0" fontId="7" fillId="6" borderId="1" xfId="4" applyFont="1" applyFill="1" applyBorder="1"/>
    <xf numFmtId="0" fontId="7" fillId="5" borderId="2" xfId="4" applyFont="1" applyFill="1" applyBorder="1"/>
    <xf numFmtId="0" fontId="8" fillId="0" borderId="2" xfId="4" applyFont="1" applyBorder="1" applyAlignment="1">
      <alignment horizontal="center"/>
    </xf>
    <xf numFmtId="0" fontId="7" fillId="6" borderId="3" xfId="4" applyFont="1" applyFill="1" applyBorder="1"/>
    <xf numFmtId="0" fontId="7" fillId="5" borderId="1" xfId="4" applyFont="1" applyFill="1" applyBorder="1"/>
    <xf numFmtId="0" fontId="8" fillId="5" borderId="2" xfId="4" applyFont="1" applyFill="1" applyBorder="1" applyAlignment="1">
      <alignment horizontal="center"/>
    </xf>
    <xf numFmtId="0" fontId="8" fillId="5" borderId="3" xfId="4" applyFont="1" applyFill="1" applyBorder="1" applyAlignment="1">
      <alignment horizontal="center"/>
    </xf>
    <xf numFmtId="0" fontId="7" fillId="6" borderId="4" xfId="4" applyFont="1" applyFill="1" applyBorder="1"/>
    <xf numFmtId="0" fontId="14" fillId="5" borderId="0" xfId="4" applyFont="1" applyFill="1" applyBorder="1" applyAlignment="1">
      <alignment horizontal="right"/>
    </xf>
    <xf numFmtId="0" fontId="8" fillId="6" borderId="0" xfId="4" applyFont="1" applyFill="1" applyBorder="1" applyAlignment="1">
      <alignment horizontal="center"/>
    </xf>
    <xf numFmtId="0" fontId="7" fillId="6" borderId="5" xfId="4" applyFont="1" applyFill="1" applyBorder="1"/>
    <xf numFmtId="0" fontId="7" fillId="5" borderId="4" xfId="4" applyFont="1" applyFill="1" applyBorder="1"/>
    <xf numFmtId="0" fontId="8" fillId="5" borderId="0" xfId="4" applyFont="1" applyFill="1" applyBorder="1" applyAlignment="1">
      <alignment horizontal="center"/>
    </xf>
    <xf numFmtId="0" fontId="8" fillId="5" borderId="5" xfId="4" applyFont="1" applyFill="1" applyBorder="1" applyAlignment="1">
      <alignment horizontal="center"/>
    </xf>
    <xf numFmtId="9" fontId="11" fillId="5" borderId="9" xfId="2" applyNumberFormat="1" applyFont="1" applyFill="1" applyBorder="1"/>
    <xf numFmtId="9" fontId="7" fillId="5" borderId="0" xfId="2" applyFont="1" applyFill="1" applyBorder="1"/>
    <xf numFmtId="0" fontId="8" fillId="6" borderId="5" xfId="4" applyFont="1" applyFill="1" applyBorder="1" applyAlignment="1">
      <alignment horizontal="center"/>
    </xf>
    <xf numFmtId="166" fontId="7" fillId="5" borderId="0" xfId="5" applyNumberFormat="1" applyFont="1" applyFill="1" applyBorder="1"/>
    <xf numFmtId="0" fontId="7" fillId="5" borderId="5" xfId="4" applyFont="1" applyFill="1" applyBorder="1"/>
    <xf numFmtId="167" fontId="11" fillId="5" borderId="9" xfId="1" applyNumberFormat="1" applyFont="1" applyFill="1" applyBorder="1"/>
    <xf numFmtId="168" fontId="11" fillId="5" borderId="9" xfId="1" applyNumberFormat="1" applyFont="1" applyFill="1" applyBorder="1"/>
    <xf numFmtId="38" fontId="7" fillId="6" borderId="0" xfId="1" applyNumberFormat="1" applyFont="1" applyFill="1" applyBorder="1"/>
    <xf numFmtId="9" fontId="14" fillId="5" borderId="5" xfId="2" applyFont="1" applyFill="1" applyBorder="1"/>
    <xf numFmtId="0" fontId="7" fillId="3" borderId="0" xfId="0" applyFont="1" applyFill="1" applyAlignment="1"/>
    <xf numFmtId="169" fontId="13" fillId="5" borderId="9" xfId="1" applyNumberFormat="1" applyFont="1" applyFill="1" applyBorder="1"/>
    <xf numFmtId="38" fontId="13" fillId="5" borderId="0" xfId="1" applyNumberFormat="1" applyFont="1" applyFill="1" applyBorder="1"/>
    <xf numFmtId="170" fontId="13" fillId="5" borderId="9" xfId="1" applyNumberFormat="1" applyFont="1" applyFill="1" applyBorder="1"/>
    <xf numFmtId="38" fontId="15" fillId="0" borderId="9" xfId="1" applyNumberFormat="1" applyFont="1" applyFill="1" applyBorder="1" applyAlignment="1">
      <alignment horizontal="right"/>
    </xf>
    <xf numFmtId="9" fontId="14" fillId="7" borderId="5" xfId="2" applyNumberFormat="1" applyFont="1" applyFill="1" applyBorder="1" applyAlignment="1">
      <alignment horizontal="center"/>
    </xf>
    <xf numFmtId="0" fontId="8" fillId="5" borderId="4" xfId="4" applyFont="1" applyFill="1" applyBorder="1"/>
    <xf numFmtId="171" fontId="8" fillId="5" borderId="0" xfId="4" applyNumberFormat="1" applyFont="1" applyFill="1" applyBorder="1"/>
    <xf numFmtId="166" fontId="8" fillId="5" borderId="5" xfId="4" applyNumberFormat="1" applyFont="1" applyFill="1" applyBorder="1"/>
    <xf numFmtId="38" fontId="11" fillId="0" borderId="9" xfId="1" applyNumberFormat="1" applyFont="1" applyFill="1" applyBorder="1" applyAlignment="1">
      <alignment horizontal="right"/>
    </xf>
    <xf numFmtId="9" fontId="14" fillId="6" borderId="5" xfId="2" applyNumberFormat="1" applyFont="1" applyFill="1" applyBorder="1" applyAlignment="1">
      <alignment horizontal="center"/>
    </xf>
    <xf numFmtId="9" fontId="10" fillId="6" borderId="0" xfId="6" applyFont="1" applyFill="1" applyBorder="1" applyAlignment="1">
      <alignment horizontal="right"/>
    </xf>
    <xf numFmtId="0" fontId="8" fillId="6" borderId="6" xfId="4" applyFont="1" applyFill="1" applyBorder="1"/>
    <xf numFmtId="38" fontId="8" fillId="5" borderId="12" xfId="1" applyNumberFormat="1" applyFont="1" applyFill="1" applyBorder="1"/>
    <xf numFmtId="38" fontId="8" fillId="6" borderId="12" xfId="1" applyNumberFormat="1" applyFont="1" applyFill="1" applyBorder="1"/>
    <xf numFmtId="0" fontId="7" fillId="6" borderId="7" xfId="4" applyFont="1" applyFill="1" applyBorder="1"/>
    <xf numFmtId="0" fontId="7" fillId="5" borderId="6" xfId="4" applyFont="1" applyFill="1" applyBorder="1"/>
    <xf numFmtId="171" fontId="8" fillId="5" borderId="12" xfId="4" applyNumberFormat="1" applyFont="1" applyFill="1" applyBorder="1"/>
    <xf numFmtId="9" fontId="7" fillId="5" borderId="7" xfId="2" applyFont="1" applyFill="1" applyBorder="1"/>
    <xf numFmtId="0" fontId="14" fillId="5" borderId="0" xfId="4" applyFont="1" applyFill="1" applyBorder="1" applyAlignment="1">
      <alignment horizontal="center"/>
    </xf>
    <xf numFmtId="0" fontId="14" fillId="6" borderId="0" xfId="4" applyFont="1" applyFill="1" applyBorder="1" applyAlignment="1">
      <alignment horizontal="right"/>
    </xf>
    <xf numFmtId="0" fontId="7" fillId="5" borderId="3" xfId="4" applyFont="1" applyFill="1" applyBorder="1"/>
    <xf numFmtId="0" fontId="7" fillId="6" borderId="4" xfId="4" applyFont="1" applyFill="1" applyBorder="1" applyAlignment="1">
      <alignment horizontal="left"/>
    </xf>
    <xf numFmtId="38" fontId="13" fillId="5" borderId="9" xfId="1" applyNumberFormat="1" applyFont="1" applyFill="1" applyBorder="1" applyAlignment="1"/>
    <xf numFmtId="40" fontId="13" fillId="5" borderId="9" xfId="1" applyNumberFormat="1" applyFont="1" applyFill="1" applyBorder="1" applyAlignment="1"/>
    <xf numFmtId="38" fontId="7" fillId="5" borderId="0" xfId="1" applyNumberFormat="1" applyFont="1" applyFill="1" applyBorder="1" applyAlignment="1"/>
    <xf numFmtId="165" fontId="7" fillId="6" borderId="0" xfId="1" applyNumberFormat="1" applyFont="1" applyFill="1" applyBorder="1"/>
    <xf numFmtId="166" fontId="11" fillId="5" borderId="9" xfId="5" applyNumberFormat="1" applyFont="1" applyFill="1" applyBorder="1"/>
    <xf numFmtId="166" fontId="7" fillId="5" borderId="5" xfId="5" applyNumberFormat="1" applyFont="1" applyFill="1" applyBorder="1"/>
    <xf numFmtId="165" fontId="13" fillId="5" borderId="9" xfId="1" applyNumberFormat="1" applyFont="1" applyFill="1" applyBorder="1" applyAlignment="1"/>
    <xf numFmtId="38" fontId="13" fillId="0" borderId="9" xfId="1" applyNumberFormat="1" applyFont="1" applyFill="1" applyBorder="1" applyAlignment="1"/>
    <xf numFmtId="172" fontId="11" fillId="5" borderId="9" xfId="4" applyNumberFormat="1" applyFont="1" applyFill="1" applyBorder="1"/>
    <xf numFmtId="9" fontId="7" fillId="5" borderId="5" xfId="4" applyNumberFormat="1" applyFont="1" applyFill="1" applyBorder="1"/>
    <xf numFmtId="166" fontId="8" fillId="5" borderId="0" xfId="4" applyNumberFormat="1" applyFont="1" applyFill="1" applyBorder="1"/>
    <xf numFmtId="0" fontId="8" fillId="3" borderId="0" xfId="0" applyFont="1" applyFill="1" applyAlignment="1"/>
    <xf numFmtId="0" fontId="7" fillId="5" borderId="0" xfId="4" applyFont="1" applyFill="1" applyBorder="1"/>
    <xf numFmtId="0" fontId="8" fillId="6" borderId="4" xfId="4" applyFont="1" applyFill="1" applyBorder="1"/>
    <xf numFmtId="165" fontId="9" fillId="5" borderId="0" xfId="1" applyNumberFormat="1" applyFont="1" applyFill="1" applyBorder="1" applyAlignment="1"/>
    <xf numFmtId="38" fontId="8" fillId="5" borderId="0" xfId="1" applyNumberFormat="1" applyFont="1" applyFill="1" applyBorder="1" applyAlignment="1"/>
    <xf numFmtId="165" fontId="8" fillId="6" borderId="0" xfId="1" applyNumberFormat="1" applyFont="1" applyFill="1" applyBorder="1"/>
    <xf numFmtId="9" fontId="16" fillId="6" borderId="5" xfId="2" applyNumberFormat="1" applyFont="1" applyFill="1" applyBorder="1" applyAlignment="1">
      <alignment horizontal="center"/>
    </xf>
    <xf numFmtId="165" fontId="13" fillId="5" borderId="0" xfId="1" applyNumberFormat="1" applyFont="1" applyFill="1" applyBorder="1" applyAlignment="1"/>
    <xf numFmtId="166" fontId="11" fillId="5" borderId="5" xfId="5" applyNumberFormat="1" applyFont="1" applyFill="1" applyBorder="1"/>
    <xf numFmtId="172" fontId="11" fillId="5" borderId="5" xfId="4" applyNumberFormat="1" applyFont="1" applyFill="1" applyBorder="1"/>
    <xf numFmtId="9" fontId="7" fillId="3" borderId="0" xfId="2" applyFont="1" applyFill="1"/>
    <xf numFmtId="38" fontId="11" fillId="5" borderId="9" xfId="1" applyNumberFormat="1" applyFont="1" applyFill="1" applyBorder="1" applyAlignment="1"/>
    <xf numFmtId="173" fontId="11" fillId="5" borderId="9" xfId="5" applyNumberFormat="1" applyFont="1" applyFill="1" applyBorder="1"/>
    <xf numFmtId="0" fontId="8" fillId="5" borderId="0" xfId="4" applyFont="1" applyFill="1" applyBorder="1"/>
    <xf numFmtId="38" fontId="8" fillId="5" borderId="0" xfId="4" applyNumberFormat="1" applyFont="1" applyFill="1" applyBorder="1"/>
    <xf numFmtId="1" fontId="13" fillId="5" borderId="9" xfId="4" applyNumberFormat="1" applyFont="1" applyFill="1" applyBorder="1"/>
    <xf numFmtId="2" fontId="13" fillId="5" borderId="9" xfId="4" applyNumberFormat="1" applyFont="1" applyFill="1" applyBorder="1"/>
    <xf numFmtId="166" fontId="8" fillId="5" borderId="0" xfId="5" applyNumberFormat="1" applyFont="1" applyFill="1" applyBorder="1"/>
    <xf numFmtId="0" fontId="8" fillId="6" borderId="0" xfId="4" applyFont="1" applyFill="1" applyBorder="1"/>
    <xf numFmtId="38" fontId="8" fillId="6" borderId="0" xfId="1" applyNumberFormat="1" applyFont="1" applyFill="1" applyBorder="1"/>
    <xf numFmtId="0" fontId="7" fillId="6" borderId="0" xfId="4" applyFont="1" applyFill="1" applyBorder="1"/>
    <xf numFmtId="38" fontId="7" fillId="6" borderId="0" xfId="1" applyNumberFormat="1" applyFont="1" applyFill="1" applyBorder="1" applyAlignment="1"/>
    <xf numFmtId="9" fontId="11" fillId="5" borderId="9" xfId="4" applyNumberFormat="1" applyFont="1" applyFill="1" applyBorder="1"/>
    <xf numFmtId="9" fontId="17" fillId="5" borderId="5" xfId="4" applyNumberFormat="1" applyFont="1" applyFill="1" applyBorder="1"/>
    <xf numFmtId="0" fontId="8" fillId="6" borderId="12" xfId="4" applyFont="1" applyFill="1" applyBorder="1"/>
    <xf numFmtId="165" fontId="8" fillId="6" borderId="12" xfId="1" applyNumberFormat="1" applyFont="1" applyFill="1" applyBorder="1"/>
    <xf numFmtId="0" fontId="8" fillId="5" borderId="6" xfId="4" applyFont="1" applyFill="1" applyBorder="1"/>
    <xf numFmtId="166" fontId="8" fillId="5" borderId="12" xfId="4" applyNumberFormat="1" applyFont="1" applyFill="1" applyBorder="1"/>
    <xf numFmtId="9" fontId="14" fillId="5" borderId="7" xfId="2" applyFont="1" applyFill="1" applyBorder="1"/>
    <xf numFmtId="1" fontId="7" fillId="6" borderId="0" xfId="4" applyNumberFormat="1" applyFont="1" applyFill="1" applyBorder="1" applyAlignment="1"/>
    <xf numFmtId="0" fontId="8" fillId="5" borderId="0" xfId="4" applyFont="1" applyFill="1"/>
    <xf numFmtId="173" fontId="8" fillId="5" borderId="5" xfId="4" applyNumberFormat="1" applyFont="1" applyFill="1" applyBorder="1"/>
    <xf numFmtId="9" fontId="7" fillId="6" borderId="0" xfId="6" applyNumberFormat="1" applyFont="1" applyFill="1" applyBorder="1"/>
    <xf numFmtId="166" fontId="7" fillId="5" borderId="0" xfId="4" applyNumberFormat="1" applyFont="1" applyFill="1" applyBorder="1"/>
    <xf numFmtId="43" fontId="7" fillId="5" borderId="5" xfId="4" applyNumberFormat="1" applyFont="1" applyFill="1" applyBorder="1"/>
    <xf numFmtId="0" fontId="7" fillId="6" borderId="2" xfId="4" applyFont="1" applyFill="1" applyBorder="1"/>
    <xf numFmtId="0" fontId="14" fillId="6" borderId="2" xfId="4" applyFont="1" applyFill="1" applyBorder="1" applyAlignment="1">
      <alignment horizontal="right"/>
    </xf>
    <xf numFmtId="173" fontId="13" fillId="6" borderId="2" xfId="5" applyNumberFormat="1" applyFont="1" applyFill="1" applyBorder="1"/>
    <xf numFmtId="173" fontId="13" fillId="6" borderId="3" xfId="5" applyNumberFormat="1" applyFont="1" applyFill="1" applyBorder="1"/>
    <xf numFmtId="9" fontId="14" fillId="6" borderId="5" xfId="2" applyNumberFormat="1" applyFont="1" applyFill="1" applyBorder="1" applyAlignment="1">
      <alignment horizontal="left"/>
    </xf>
    <xf numFmtId="173" fontId="7" fillId="5" borderId="0" xfId="4" applyNumberFormat="1" applyFont="1" applyFill="1" applyBorder="1"/>
    <xf numFmtId="166" fontId="13" fillId="6" borderId="5" xfId="5" applyNumberFormat="1" applyFont="1" applyFill="1" applyBorder="1"/>
    <xf numFmtId="9" fontId="14" fillId="5" borderId="0" xfId="7" applyFont="1" applyFill="1" applyBorder="1" applyAlignment="1">
      <alignment horizontal="left"/>
    </xf>
    <xf numFmtId="166" fontId="8" fillId="6" borderId="0" xfId="5" applyNumberFormat="1" applyFont="1" applyFill="1" applyBorder="1"/>
    <xf numFmtId="166" fontId="8" fillId="6" borderId="5" xfId="5" applyNumberFormat="1" applyFont="1" applyFill="1" applyBorder="1"/>
    <xf numFmtId="165" fontId="8" fillId="6" borderId="0" xfId="4" applyNumberFormat="1" applyFont="1" applyFill="1" applyBorder="1"/>
    <xf numFmtId="9" fontId="14" fillId="6" borderId="5" xfId="2" applyFont="1" applyFill="1" applyBorder="1" applyAlignment="1">
      <alignment horizontal="left"/>
    </xf>
    <xf numFmtId="172" fontId="7" fillId="6" borderId="0" xfId="2" applyNumberFormat="1" applyFont="1" applyFill="1" applyBorder="1"/>
    <xf numFmtId="172" fontId="7" fillId="6" borderId="5" xfId="2" applyNumberFormat="1" applyFont="1" applyFill="1" applyBorder="1"/>
    <xf numFmtId="0" fontId="14" fillId="6" borderId="8" xfId="0" applyFont="1" applyFill="1" applyBorder="1"/>
    <xf numFmtId="0" fontId="20" fillId="6" borderId="10" xfId="0" applyFont="1" applyFill="1" applyBorder="1"/>
    <xf numFmtId="0" fontId="20" fillId="6" borderId="11" xfId="0" applyFont="1" applyFill="1" applyBorder="1"/>
    <xf numFmtId="0" fontId="7" fillId="3" borderId="0" xfId="4" applyFont="1" applyFill="1" applyBorder="1"/>
  </cellXfs>
  <cellStyles count="8">
    <cellStyle name="Comma" xfId="1" builtinId="3"/>
    <cellStyle name="Comma_Pre-Cigar Box Paprika v3" xfId="5"/>
    <cellStyle name="Normal" xfId="0" builtinId="0"/>
    <cellStyle name="Normal_Pre-Cigar Box Agroplast v4" xfId="3"/>
    <cellStyle name="Normal_Pre-Cigar Box Paprika v3" xfId="4"/>
    <cellStyle name="Percent" xfId="2" builtinId="5"/>
    <cellStyle name="Percent 2 3 2" xfId="6"/>
    <cellStyle name="Percent 4 2" xfId="7"/>
  </cellStyles>
  <dxfs count="9">
    <dxf>
      <fill>
        <patternFill>
          <bgColor rgb="FF00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u val="none"/>
        <color theme="0"/>
      </font>
      <fill>
        <patternFill>
          <bgColor rgb="FFFF0000"/>
        </patternFill>
      </fill>
    </dxf>
    <dxf>
      <font>
        <b val="0"/>
        <i val="0"/>
        <strike val="0"/>
        <u val="none"/>
        <color auto="1"/>
      </font>
      <fill>
        <patternFill>
          <bgColor rgb="FFFFC000"/>
        </patternFill>
      </fill>
    </dxf>
    <dxf>
      <font>
        <b val="0"/>
        <i val="0"/>
        <strike val="0"/>
        <u val="none"/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u val="none"/>
      </font>
      <fill>
        <patternFill>
          <bgColor rgb="FFFFC000"/>
        </patternFill>
      </fill>
    </dxf>
    <dxf>
      <font>
        <b val="0"/>
        <i val="0"/>
        <strike val="0"/>
        <u val="none"/>
      </font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\Google%20Drive\Cigar%20Box%20Training\IAC%20Cursus%20OPPO%202016\Cigar%20box\Example%20case_Maize_%20Farm+PO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Data Maize Farm"/>
      <sheetName val="CB1 Maize farm (Before)"/>
      <sheetName val="CB1 Maize farm (After)"/>
      <sheetName val="CB1 Maize PO"/>
      <sheetName val="CB Data Maize PO"/>
      <sheetName val="CB1 Maize farm (70 ha)"/>
      <sheetName val="CB4 Maize P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N39"/>
  <sheetViews>
    <sheetView tabSelected="1" workbookViewId="0">
      <selection activeCell="P22" sqref="P22"/>
    </sheetView>
  </sheetViews>
  <sheetFormatPr defaultColWidth="9.109375" defaultRowHeight="12" x14ac:dyDescent="0.25"/>
  <cols>
    <col min="1" max="1" width="2.6640625" style="7" customWidth="1"/>
    <col min="2" max="2" width="30.21875" style="7" customWidth="1"/>
    <col min="3" max="5" width="8.44140625" style="7" customWidth="1"/>
    <col min="6" max="6" width="9.6640625" style="7" bestFit="1" customWidth="1"/>
    <col min="7" max="8" width="9.33203125" style="7" customWidth="1"/>
    <col min="9" max="9" width="30.77734375" style="7" bestFit="1" customWidth="1"/>
    <col min="10" max="10" width="12.44140625" style="135" customWidth="1"/>
    <col min="11" max="11" width="6.5546875" style="7" customWidth="1"/>
    <col min="12" max="12" width="2.88671875" style="7" customWidth="1"/>
    <col min="13" max="13" width="3.5546875" style="7" bestFit="1" customWidth="1"/>
    <col min="14" max="14" width="4.77734375" style="7" bestFit="1" customWidth="1"/>
    <col min="15" max="15" width="2.21875" style="7" customWidth="1"/>
    <col min="16" max="16384" width="9.109375" style="7"/>
  </cols>
  <sheetData>
    <row r="2" spans="2:14" ht="18" x14ac:dyDescent="0.35">
      <c r="B2" s="1" t="s">
        <v>0</v>
      </c>
      <c r="C2" s="2"/>
      <c r="D2" s="2"/>
      <c r="E2" s="2"/>
      <c r="F2" s="2"/>
      <c r="G2" s="2"/>
      <c r="H2" s="3"/>
      <c r="I2" s="4"/>
      <c r="J2" s="5">
        <v>2015</v>
      </c>
      <c r="K2" s="6"/>
      <c r="M2" s="8" t="s">
        <v>1</v>
      </c>
      <c r="N2" s="9">
        <v>720</v>
      </c>
    </row>
    <row r="3" spans="2:14" x14ac:dyDescent="0.25">
      <c r="B3" s="10" t="s">
        <v>2</v>
      </c>
      <c r="C3" s="11"/>
      <c r="D3" s="11"/>
      <c r="E3" s="11"/>
      <c r="F3" s="11"/>
      <c r="G3" s="12"/>
      <c r="H3" s="13"/>
      <c r="I3" s="13"/>
      <c r="J3" s="13"/>
      <c r="K3" s="14"/>
      <c r="M3" s="15" t="s">
        <v>3</v>
      </c>
      <c r="N3" s="16" t="s">
        <v>4</v>
      </c>
    </row>
    <row r="4" spans="2:14" s="25" customFormat="1" x14ac:dyDescent="0.25">
      <c r="B4" s="17" t="s">
        <v>5</v>
      </c>
      <c r="C4" s="18">
        <v>70</v>
      </c>
      <c r="D4" s="19" t="s">
        <v>6</v>
      </c>
      <c r="E4" s="19" t="s">
        <v>7</v>
      </c>
      <c r="F4" s="19"/>
      <c r="G4" s="20">
        <v>4</v>
      </c>
      <c r="H4" s="21" t="s">
        <v>8</v>
      </c>
      <c r="I4" s="22" t="s">
        <v>9</v>
      </c>
      <c r="J4" s="23">
        <v>1</v>
      </c>
      <c r="K4" s="24"/>
    </row>
    <row r="5" spans="2:14" x14ac:dyDescent="0.25">
      <c r="B5" s="26"/>
      <c r="C5" s="27"/>
      <c r="D5" s="27"/>
      <c r="E5" s="27"/>
      <c r="F5" s="27"/>
      <c r="G5" s="28" t="str">
        <f>IF(N2=1,N3,M3)</f>
        <v>USD</v>
      </c>
      <c r="H5" s="29"/>
      <c r="I5" s="30"/>
      <c r="J5" s="31" t="str">
        <f>G5</f>
        <v>USD</v>
      </c>
      <c r="K5" s="32"/>
    </row>
    <row r="6" spans="2:14" ht="14.4" x14ac:dyDescent="0.35">
      <c r="B6" s="33" t="s">
        <v>10</v>
      </c>
      <c r="C6" s="34" t="s">
        <v>11</v>
      </c>
      <c r="D6" s="34" t="s">
        <v>12</v>
      </c>
      <c r="E6" s="34"/>
      <c r="F6" s="34" t="s">
        <v>13</v>
      </c>
      <c r="G6" s="35" t="s">
        <v>14</v>
      </c>
      <c r="H6" s="36"/>
      <c r="I6" s="37"/>
      <c r="J6" s="38" t="s">
        <v>15</v>
      </c>
      <c r="K6" s="39"/>
    </row>
    <row r="7" spans="2:14" ht="14.4" x14ac:dyDescent="0.35">
      <c r="B7" s="33" t="s">
        <v>16</v>
      </c>
      <c r="C7" s="40">
        <v>0.4</v>
      </c>
      <c r="D7" s="40">
        <v>0.6</v>
      </c>
      <c r="E7" s="40"/>
      <c r="F7" s="40">
        <v>0</v>
      </c>
      <c r="G7" s="41">
        <f>SUM(C7:F7)</f>
        <v>1</v>
      </c>
      <c r="H7" s="42"/>
      <c r="I7" s="37" t="s">
        <v>17</v>
      </c>
      <c r="J7" s="43">
        <f>G8*J33</f>
        <v>114605.55555555555</v>
      </c>
      <c r="K7" s="44"/>
    </row>
    <row r="8" spans="2:14" ht="14.4" x14ac:dyDescent="0.35">
      <c r="B8" s="33" t="s">
        <v>18</v>
      </c>
      <c r="C8" s="45">
        <f>421000/ROE</f>
        <v>584.72222222222217</v>
      </c>
      <c r="D8" s="45">
        <f>C8/2</f>
        <v>292.36111111111109</v>
      </c>
      <c r="E8" s="46"/>
      <c r="F8" s="46">
        <v>0</v>
      </c>
      <c r="G8" s="47">
        <f>(C7*C8+D8*D7+E8*E7+F8*F7)</f>
        <v>409.30555555555554</v>
      </c>
      <c r="H8" s="36"/>
      <c r="I8" s="37" t="s">
        <v>19</v>
      </c>
      <c r="J8" s="43">
        <f>(G30+G9+G10)*J33+J30</f>
        <v>77989.834876543202</v>
      </c>
      <c r="K8" s="48">
        <f>J8/J7</f>
        <v>0.68050658188849567</v>
      </c>
      <c r="L8" s="49"/>
    </row>
    <row r="9" spans="2:14" ht="14.4" x14ac:dyDescent="0.35">
      <c r="B9" s="33" t="s">
        <v>20</v>
      </c>
      <c r="C9" s="50">
        <v>100</v>
      </c>
      <c r="D9" s="50">
        <v>15</v>
      </c>
      <c r="E9" s="51"/>
      <c r="F9" s="52">
        <f>31/ROE</f>
        <v>4.3055555555555555E-2</v>
      </c>
      <c r="G9" s="53">
        <f>(C9*C7+D9*D7)*F9</f>
        <v>2.1097222222222221</v>
      </c>
      <c r="H9" s="54">
        <f>G9/$G$11</f>
        <v>5.1839287969121664E-3</v>
      </c>
      <c r="I9" s="55" t="s">
        <v>21</v>
      </c>
      <c r="J9" s="56">
        <f>J7-J8</f>
        <v>36615.720679012345</v>
      </c>
      <c r="K9" s="57"/>
      <c r="L9" s="49"/>
    </row>
    <row r="10" spans="2:14" ht="14.4" x14ac:dyDescent="0.35">
      <c r="B10" s="33" t="s">
        <v>22</v>
      </c>
      <c r="C10" s="51"/>
      <c r="D10" s="51"/>
      <c r="E10" s="51"/>
      <c r="F10" s="51"/>
      <c r="G10" s="58">
        <f>4000/25/ROE</f>
        <v>0.22222222222222221</v>
      </c>
      <c r="H10" s="59">
        <f>G10/$G$11</f>
        <v>5.4603594964183451E-4</v>
      </c>
      <c r="I10" s="37" t="s">
        <v>23</v>
      </c>
      <c r="J10" s="60">
        <f>J9/J7</f>
        <v>0.31949341811150433</v>
      </c>
      <c r="K10" s="57"/>
      <c r="L10" s="49"/>
    </row>
    <row r="11" spans="2:14" ht="14.4" x14ac:dyDescent="0.35">
      <c r="B11" s="61" t="s">
        <v>24</v>
      </c>
      <c r="C11" s="62"/>
      <c r="D11" s="62"/>
      <c r="E11" s="62"/>
      <c r="F11" s="62"/>
      <c r="G11" s="63">
        <f>G8-G9-G10</f>
        <v>406.9736111111111</v>
      </c>
      <c r="H11" s="64"/>
      <c r="I11" s="65" t="s">
        <v>25</v>
      </c>
      <c r="J11" s="66">
        <f>J9+J15</f>
        <v>40678.220679012345</v>
      </c>
      <c r="K11" s="67"/>
      <c r="L11" s="49"/>
    </row>
    <row r="12" spans="2:14" ht="14.4" x14ac:dyDescent="0.35">
      <c r="B12" s="33"/>
      <c r="C12" s="34" t="s">
        <v>26</v>
      </c>
      <c r="D12" s="68" t="s">
        <v>27</v>
      </c>
      <c r="E12" s="34" t="s">
        <v>28</v>
      </c>
      <c r="F12" s="34" t="s">
        <v>29</v>
      </c>
      <c r="G12" s="69" t="s">
        <v>30</v>
      </c>
      <c r="H12" s="36"/>
      <c r="I12" s="30"/>
      <c r="J12" s="27"/>
      <c r="K12" s="70"/>
      <c r="L12" s="49"/>
    </row>
    <row r="13" spans="2:14" ht="14.4" x14ac:dyDescent="0.35">
      <c r="B13" s="71" t="s">
        <v>31</v>
      </c>
      <c r="C13" s="72">
        <f>1750/70</f>
        <v>25</v>
      </c>
      <c r="D13" s="73">
        <f>400/ROE</f>
        <v>0.55555555555555558</v>
      </c>
      <c r="E13" s="74">
        <f>C13*D13</f>
        <v>13.888888888888889</v>
      </c>
      <c r="F13" s="74">
        <f>E13*$C$4</f>
        <v>972.22222222222229</v>
      </c>
      <c r="G13" s="75">
        <f>E13/$G$4</f>
        <v>3.4722222222222223</v>
      </c>
      <c r="H13" s="59">
        <f>G13/$G$30</f>
        <v>1.4108794481893715E-2</v>
      </c>
      <c r="I13" s="37" t="s">
        <v>32</v>
      </c>
      <c r="J13" s="76">
        <f>(25000000+20000000)/ROE</f>
        <v>62500</v>
      </c>
      <c r="K13" s="77"/>
      <c r="L13" s="49"/>
    </row>
    <row r="14" spans="2:14" ht="14.4" x14ac:dyDescent="0.35">
      <c r="B14" s="71" t="s">
        <v>33</v>
      </c>
      <c r="C14" s="78">
        <f>49/70</f>
        <v>0.7</v>
      </c>
      <c r="D14" s="79">
        <f>260000/ROE</f>
        <v>361.11111111111109</v>
      </c>
      <c r="E14" s="74">
        <f>C14*D14</f>
        <v>252.77777777777774</v>
      </c>
      <c r="F14" s="74">
        <f>E14*$C$4</f>
        <v>17694.444444444442</v>
      </c>
      <c r="G14" s="75">
        <f>E14/$G$4</f>
        <v>63.194444444444436</v>
      </c>
      <c r="H14" s="59">
        <f>G14/$G$30</f>
        <v>0.25678005957046557</v>
      </c>
      <c r="I14" s="37" t="s">
        <v>34</v>
      </c>
      <c r="J14" s="80">
        <v>6.5000000000000002E-2</v>
      </c>
      <c r="K14" s="81"/>
      <c r="L14" s="49"/>
    </row>
    <row r="15" spans="2:14" ht="14.4" x14ac:dyDescent="0.35">
      <c r="B15" s="71" t="s">
        <v>35</v>
      </c>
      <c r="C15" s="72">
        <f>700/70</f>
        <v>10</v>
      </c>
      <c r="D15" s="79">
        <f>9000/ROE</f>
        <v>12.5</v>
      </c>
      <c r="E15" s="74">
        <f>C15*D15</f>
        <v>125</v>
      </c>
      <c r="F15" s="74">
        <f>E15*$C$4</f>
        <v>8750</v>
      </c>
      <c r="G15" s="75">
        <f>E15/$G$4</f>
        <v>31.25</v>
      </c>
      <c r="H15" s="59">
        <f>G15/$G$30</f>
        <v>0.12697915033704343</v>
      </c>
      <c r="I15" s="55" t="s">
        <v>36</v>
      </c>
      <c r="J15" s="82">
        <f>J13*J14</f>
        <v>4062.5</v>
      </c>
      <c r="K15" s="48">
        <f>J15/$J$28</f>
        <v>0.12050691180954004</v>
      </c>
      <c r="L15" s="83"/>
    </row>
    <row r="16" spans="2:14" ht="14.4" x14ac:dyDescent="0.35">
      <c r="B16" s="71" t="s">
        <v>37</v>
      </c>
      <c r="C16" s="73">
        <f>5.6/70</f>
        <v>0.08</v>
      </c>
      <c r="D16" s="72">
        <f>324000/ROE</f>
        <v>450</v>
      </c>
      <c r="E16" s="74">
        <f>C16*D16</f>
        <v>36</v>
      </c>
      <c r="F16" s="74">
        <f>E16*$C$4</f>
        <v>2520</v>
      </c>
      <c r="G16" s="75">
        <f>E16/$G$4</f>
        <v>9</v>
      </c>
      <c r="H16" s="59">
        <f>G16/$G$30</f>
        <v>3.656999529706851E-2</v>
      </c>
      <c r="I16" s="37"/>
      <c r="J16" s="84"/>
      <c r="K16" s="44"/>
      <c r="L16" s="83"/>
    </row>
    <row r="17" spans="1:12" ht="14.4" x14ac:dyDescent="0.35">
      <c r="B17" s="85" t="s">
        <v>38</v>
      </c>
      <c r="C17" s="86"/>
      <c r="D17" s="86"/>
      <c r="E17" s="87">
        <f>SUM(E13:E16)</f>
        <v>427.66666666666663</v>
      </c>
      <c r="F17" s="87">
        <f>SUM(F13:F16)</f>
        <v>29936.666666666664</v>
      </c>
      <c r="G17" s="88">
        <f>SUM(G13:G16)</f>
        <v>106.91666666666666</v>
      </c>
      <c r="H17" s="89">
        <f>G17/$G$30</f>
        <v>0.43443799968647123</v>
      </c>
      <c r="I17" s="37"/>
      <c r="J17" s="84"/>
      <c r="K17" s="44"/>
      <c r="L17" s="49"/>
    </row>
    <row r="18" spans="1:12" ht="14.4" x14ac:dyDescent="0.35">
      <c r="B18" s="33"/>
      <c r="C18" s="90"/>
      <c r="D18" s="90"/>
      <c r="E18" s="74"/>
      <c r="F18" s="74"/>
      <c r="G18" s="75"/>
      <c r="H18" s="59"/>
      <c r="I18" s="37" t="s">
        <v>39</v>
      </c>
      <c r="J18" s="76">
        <f>F30</f>
        <v>68908.950617283946</v>
      </c>
      <c r="K18" s="91"/>
      <c r="L18" s="49"/>
    </row>
    <row r="19" spans="1:12" ht="14.4" x14ac:dyDescent="0.35">
      <c r="B19" s="71" t="s">
        <v>40</v>
      </c>
      <c r="C19" s="72">
        <f>350/70</f>
        <v>5</v>
      </c>
      <c r="D19" s="72">
        <f>56000/ROE</f>
        <v>77.777777777777771</v>
      </c>
      <c r="E19" s="74">
        <f>C19*D19</f>
        <v>388.88888888888886</v>
      </c>
      <c r="F19" s="74">
        <f>E19*$C$4</f>
        <v>27222.222222222219</v>
      </c>
      <c r="G19" s="75">
        <f>E19/$G$4</f>
        <v>97.222222222222214</v>
      </c>
      <c r="H19" s="59">
        <f t="shared" ref="H19:H24" si="0">G19/$G$30</f>
        <v>0.39504624549302397</v>
      </c>
      <c r="I19" s="37" t="s">
        <v>41</v>
      </c>
      <c r="J19" s="80">
        <v>0.24</v>
      </c>
      <c r="K19" s="92"/>
      <c r="L19" s="49"/>
    </row>
    <row r="20" spans="1:12" ht="14.4" x14ac:dyDescent="0.35">
      <c r="B20" s="71" t="s">
        <v>42</v>
      </c>
      <c r="C20" s="72">
        <f>50/70</f>
        <v>0.7142857142857143</v>
      </c>
      <c r="D20" s="72">
        <f>56000/ROE</f>
        <v>77.777777777777771</v>
      </c>
      <c r="E20" s="74">
        <f>C20*D20</f>
        <v>55.55555555555555</v>
      </c>
      <c r="F20" s="74">
        <f>E20*$C$4</f>
        <v>3888.8888888888887</v>
      </c>
      <c r="G20" s="75">
        <f>E20/$G$4</f>
        <v>13.888888888888888</v>
      </c>
      <c r="H20" s="59">
        <f t="shared" si="0"/>
        <v>5.6435177927574853E-2</v>
      </c>
      <c r="I20" s="55" t="s">
        <v>43</v>
      </c>
      <c r="J20" s="82">
        <f>J18*J19</f>
        <v>16538.148148148146</v>
      </c>
      <c r="K20" s="48">
        <f>J20/$J$28</f>
        <v>0.4905750548632607</v>
      </c>
      <c r="L20" s="83"/>
    </row>
    <row r="21" spans="1:12" ht="14.4" x14ac:dyDescent="0.35">
      <c r="A21" s="93"/>
      <c r="B21" s="71" t="s">
        <v>44</v>
      </c>
      <c r="C21" s="72">
        <v>7</v>
      </c>
      <c r="D21" s="72">
        <f>7000/ROE</f>
        <v>9.7222222222222214</v>
      </c>
      <c r="E21" s="74">
        <f>C21*D21</f>
        <v>68.055555555555543</v>
      </c>
      <c r="F21" s="74">
        <f>E21*$C$4</f>
        <v>4763.8888888888878</v>
      </c>
      <c r="G21" s="75">
        <f>E21/$G$4</f>
        <v>17.013888888888886</v>
      </c>
      <c r="H21" s="59">
        <f t="shared" si="0"/>
        <v>6.9133092961279188E-2</v>
      </c>
      <c r="I21" s="37"/>
      <c r="J21" s="84"/>
      <c r="K21" s="44"/>
      <c r="L21" s="49"/>
    </row>
    <row r="22" spans="1:12" ht="14.4" x14ac:dyDescent="0.35">
      <c r="A22" s="93"/>
      <c r="B22" s="71" t="s">
        <v>45</v>
      </c>
      <c r="C22" s="94">
        <v>0</v>
      </c>
      <c r="D22" s="78"/>
      <c r="E22" s="74">
        <f>C22*D22</f>
        <v>0</v>
      </c>
      <c r="F22" s="74">
        <f>E22*$C$4</f>
        <v>0</v>
      </c>
      <c r="G22" s="75">
        <f>E22/$G$4</f>
        <v>0</v>
      </c>
      <c r="H22" s="59">
        <f t="shared" si="0"/>
        <v>0</v>
      </c>
      <c r="I22" s="37" t="s">
        <v>46</v>
      </c>
      <c r="J22" s="95">
        <f>2+5*0.7</f>
        <v>5.5</v>
      </c>
      <c r="K22" s="48"/>
      <c r="L22" s="49"/>
    </row>
    <row r="23" spans="1:12" ht="14.4" x14ac:dyDescent="0.35">
      <c r="A23" s="93"/>
      <c r="B23" s="71" t="s">
        <v>47</v>
      </c>
      <c r="C23" s="94">
        <v>0</v>
      </c>
      <c r="D23" s="78"/>
      <c r="E23" s="74">
        <f>C23*D23</f>
        <v>0</v>
      </c>
      <c r="F23" s="74">
        <f>E23*$C$4</f>
        <v>0</v>
      </c>
      <c r="G23" s="75">
        <f>E23/$G$4</f>
        <v>0</v>
      </c>
      <c r="H23" s="59">
        <f t="shared" si="0"/>
        <v>0</v>
      </c>
      <c r="I23" s="37" t="s">
        <v>48</v>
      </c>
      <c r="J23" s="76">
        <f>J22*3000*360/ROE</f>
        <v>8250</v>
      </c>
      <c r="K23" s="48">
        <f>J23/$J$28</f>
        <v>0.24472172859783517</v>
      </c>
      <c r="L23" s="49"/>
    </row>
    <row r="24" spans="1:12" ht="14.4" x14ac:dyDescent="0.35">
      <c r="B24" s="85" t="s">
        <v>49</v>
      </c>
      <c r="C24" s="96"/>
      <c r="D24" s="96"/>
      <c r="E24" s="97">
        <f>SUM(E19:E23)</f>
        <v>512.5</v>
      </c>
      <c r="F24" s="87">
        <f>SUM(F19:F23)</f>
        <v>35875</v>
      </c>
      <c r="G24" s="88">
        <f>SUM(G19:G23)</f>
        <v>128.125</v>
      </c>
      <c r="H24" s="89">
        <f t="shared" si="0"/>
        <v>0.52061451638187806</v>
      </c>
      <c r="I24" s="37" t="s">
        <v>50</v>
      </c>
      <c r="J24" s="76">
        <f>40000*C4/ROE</f>
        <v>3888.8888888888887</v>
      </c>
      <c r="K24" s="48">
        <f>J24/$J$28</f>
        <v>0.11535704378349132</v>
      </c>
      <c r="L24" s="49"/>
    </row>
    <row r="25" spans="1:12" ht="14.4" x14ac:dyDescent="0.35">
      <c r="B25" s="33"/>
      <c r="C25" s="84"/>
      <c r="D25" s="84"/>
      <c r="E25" s="84"/>
      <c r="F25" s="74"/>
      <c r="G25" s="75"/>
      <c r="H25" s="59"/>
      <c r="I25" s="37" t="s">
        <v>51</v>
      </c>
      <c r="J25" s="76">
        <f>10000*C4/ROE</f>
        <v>972.22222222222217</v>
      </c>
      <c r="K25" s="48">
        <f>J25/$J$28</f>
        <v>2.883926094587283E-2</v>
      </c>
      <c r="L25" s="49"/>
    </row>
    <row r="26" spans="1:12" ht="14.4" x14ac:dyDescent="0.35">
      <c r="B26" s="33" t="s">
        <v>52</v>
      </c>
      <c r="C26" s="98">
        <f>1000/90</f>
        <v>11.111111111111111</v>
      </c>
      <c r="D26" s="99">
        <f>1162/ROE</f>
        <v>1.6138888888888889</v>
      </c>
      <c r="E26" s="74">
        <f>F26/C4</f>
        <v>28.691358024691358</v>
      </c>
      <c r="F26" s="74">
        <f>G26*J33</f>
        <v>2008.3950617283949</v>
      </c>
      <c r="G26" s="75">
        <f>C26*D26*C7</f>
        <v>7.1728395061728394</v>
      </c>
      <c r="H26" s="59">
        <f>G26/$G$30</f>
        <v>2.9145634111929771E-2</v>
      </c>
      <c r="I26" s="55" t="s">
        <v>53</v>
      </c>
      <c r="J26" s="100">
        <f>SUM(J23:J25)</f>
        <v>13111.111111111111</v>
      </c>
      <c r="K26" s="48">
        <f>J26/$J$28</f>
        <v>0.38891803332719932</v>
      </c>
      <c r="L26" s="83"/>
    </row>
    <row r="27" spans="1:12" ht="14.4" x14ac:dyDescent="0.35">
      <c r="B27" s="33" t="s">
        <v>54</v>
      </c>
      <c r="C27" s="98">
        <f>1000/90</f>
        <v>11.111111111111111</v>
      </c>
      <c r="D27" s="99">
        <f>420/ROE</f>
        <v>0.58333333333333337</v>
      </c>
      <c r="E27" s="74">
        <f>F27/C4</f>
        <v>15.555555555555555</v>
      </c>
      <c r="F27" s="74">
        <f>G27*J33</f>
        <v>1088.8888888888889</v>
      </c>
      <c r="G27" s="75">
        <f>C27*D27*D7</f>
        <v>3.8888888888888888</v>
      </c>
      <c r="H27" s="59">
        <f>G27/$G$30</f>
        <v>1.5801849819720961E-2</v>
      </c>
      <c r="I27" s="37"/>
      <c r="J27" s="84"/>
      <c r="K27" s="44"/>
      <c r="L27" s="49"/>
    </row>
    <row r="28" spans="1:12" ht="14.4" x14ac:dyDescent="0.35">
      <c r="B28" s="85" t="s">
        <v>55</v>
      </c>
      <c r="C28" s="101"/>
      <c r="D28" s="101"/>
      <c r="E28" s="102">
        <f>SUM(E26:E27)</f>
        <v>44.246913580246911</v>
      </c>
      <c r="F28" s="102">
        <f>SUM(F26:F27)</f>
        <v>3097.2839506172841</v>
      </c>
      <c r="G28" s="88">
        <f>SUM(G26:G27)</f>
        <v>11.061728395061728</v>
      </c>
      <c r="H28" s="89">
        <f>G28/$G$30</f>
        <v>4.4947483931650732E-2</v>
      </c>
      <c r="I28" s="55" t="s">
        <v>56</v>
      </c>
      <c r="J28" s="100">
        <f>J15+J20+J26</f>
        <v>33711.759259259255</v>
      </c>
      <c r="K28" s="48">
        <f>J28/$J$28</f>
        <v>1</v>
      </c>
      <c r="L28" s="83"/>
    </row>
    <row r="29" spans="1:12" ht="14.4" x14ac:dyDescent="0.35">
      <c r="B29" s="33"/>
      <c r="C29" s="103"/>
      <c r="D29" s="103"/>
      <c r="E29" s="103"/>
      <c r="F29" s="104"/>
      <c r="G29" s="75"/>
      <c r="H29" s="59"/>
      <c r="I29" s="37" t="s">
        <v>57</v>
      </c>
      <c r="J29" s="105">
        <v>0.25</v>
      </c>
      <c r="K29" s="106"/>
      <c r="L29" s="49"/>
    </row>
    <row r="30" spans="1:12" ht="14.4" x14ac:dyDescent="0.35">
      <c r="B30" s="61" t="s">
        <v>58</v>
      </c>
      <c r="C30" s="107"/>
      <c r="D30" s="107"/>
      <c r="E30" s="63">
        <f>E17+E24+E28</f>
        <v>984.41358024691351</v>
      </c>
      <c r="F30" s="63">
        <f>F17+F24+F28</f>
        <v>68908.950617283946</v>
      </c>
      <c r="G30" s="108">
        <f>G17+G24+G28</f>
        <v>246.10339506172838</v>
      </c>
      <c r="H30" s="59">
        <f>G30/$G$30</f>
        <v>1</v>
      </c>
      <c r="I30" s="109" t="s">
        <v>59</v>
      </c>
      <c r="J30" s="110">
        <f>J28*J29</f>
        <v>8427.9398148148139</v>
      </c>
      <c r="K30" s="111"/>
      <c r="L30" s="49"/>
    </row>
    <row r="31" spans="1:12" ht="14.4" x14ac:dyDescent="0.35">
      <c r="B31" s="26"/>
      <c r="C31" s="103"/>
      <c r="D31" s="103"/>
      <c r="E31" s="103"/>
      <c r="F31" s="112"/>
      <c r="G31" s="75"/>
      <c r="H31" s="29"/>
      <c r="I31" s="30"/>
      <c r="J31" s="27"/>
      <c r="K31" s="70"/>
    </row>
    <row r="32" spans="1:12" ht="14.4" x14ac:dyDescent="0.35">
      <c r="B32" s="85" t="s">
        <v>60</v>
      </c>
      <c r="C32" s="101"/>
      <c r="D32" s="101"/>
      <c r="E32" s="101"/>
      <c r="F32" s="101"/>
      <c r="G32" s="88">
        <f>G11-G30</f>
        <v>160.87021604938272</v>
      </c>
      <c r="H32" s="36"/>
      <c r="I32" s="113" t="s">
        <v>61</v>
      </c>
      <c r="J32" s="82">
        <f>J33*G32</f>
        <v>45043.660493827163</v>
      </c>
      <c r="K32" s="114"/>
      <c r="L32" s="49"/>
    </row>
    <row r="33" spans="2:12" ht="14.4" x14ac:dyDescent="0.35">
      <c r="B33" s="33" t="s">
        <v>62</v>
      </c>
      <c r="C33" s="103"/>
      <c r="D33" s="103"/>
      <c r="E33" s="103"/>
      <c r="F33" s="103"/>
      <c r="G33" s="115">
        <f>G32/G11</f>
        <v>0.39528414535325307</v>
      </c>
      <c r="H33" s="36"/>
      <c r="I33" s="37" t="s">
        <v>63</v>
      </c>
      <c r="J33" s="116">
        <f>C4*G4*J4</f>
        <v>280</v>
      </c>
      <c r="K33" s="117" t="s">
        <v>64</v>
      </c>
      <c r="L33" s="49"/>
    </row>
    <row r="34" spans="2:12" ht="14.4" x14ac:dyDescent="0.35">
      <c r="B34" s="26"/>
      <c r="C34" s="118"/>
      <c r="D34" s="118"/>
      <c r="E34" s="119"/>
      <c r="F34" s="119"/>
      <c r="G34" s="119" t="s">
        <v>65</v>
      </c>
      <c r="H34" s="29"/>
      <c r="I34" s="26"/>
      <c r="J34" s="120"/>
      <c r="K34" s="121"/>
      <c r="L34" s="49"/>
    </row>
    <row r="35" spans="2:12" ht="14.4" x14ac:dyDescent="0.35">
      <c r="B35" s="33" t="s">
        <v>66</v>
      </c>
      <c r="C35" s="103"/>
      <c r="D35" s="103"/>
      <c r="E35" s="47"/>
      <c r="F35" s="47"/>
      <c r="G35" s="75">
        <f>G30+G9+G10</f>
        <v>248.43533950617282</v>
      </c>
      <c r="H35" s="122">
        <f>G35/$G$37</f>
        <v>0.89193540634935153</v>
      </c>
      <c r="I35" s="37" t="s">
        <v>67</v>
      </c>
      <c r="J35" s="123">
        <f>J30/G32</f>
        <v>52.389684192552266</v>
      </c>
      <c r="K35" s="124"/>
      <c r="L35" s="49"/>
    </row>
    <row r="36" spans="2:12" ht="14.4" x14ac:dyDescent="0.35">
      <c r="B36" s="33" t="s">
        <v>68</v>
      </c>
      <c r="C36" s="103"/>
      <c r="D36" s="103"/>
      <c r="E36" s="47"/>
      <c r="F36" s="47"/>
      <c r="G36" s="75">
        <f>J30/J33</f>
        <v>30.09978505291005</v>
      </c>
      <c r="H36" s="125">
        <f>G36/$G$37</f>
        <v>0.10806459365064848</v>
      </c>
      <c r="I36" s="33" t="s">
        <v>69</v>
      </c>
      <c r="J36" s="123">
        <f>J35/C4</f>
        <v>0.74842405989360383</v>
      </c>
      <c r="K36" s="124"/>
      <c r="L36" s="49"/>
    </row>
    <row r="37" spans="2:12" ht="14.4" x14ac:dyDescent="0.35">
      <c r="B37" s="33" t="s">
        <v>70</v>
      </c>
      <c r="C37" s="103"/>
      <c r="D37" s="103"/>
      <c r="E37" s="47"/>
      <c r="F37" s="47"/>
      <c r="G37" s="75">
        <f>G35+G36</f>
        <v>278.53512455908287</v>
      </c>
      <c r="H37" s="122">
        <f>G37/$G$37</f>
        <v>1</v>
      </c>
      <c r="I37" s="85"/>
      <c r="J37" s="126"/>
      <c r="K37" s="127"/>
    </row>
    <row r="38" spans="2:12" ht="14.4" x14ac:dyDescent="0.35">
      <c r="B38" s="85" t="s">
        <v>71</v>
      </c>
      <c r="C38" s="101"/>
      <c r="D38" s="101"/>
      <c r="E38" s="102"/>
      <c r="F38" s="102"/>
      <c r="G38" s="128">
        <f>G8-G37</f>
        <v>130.77043099647267</v>
      </c>
      <c r="H38" s="129">
        <f>G38/G8</f>
        <v>0.31949341811150433</v>
      </c>
      <c r="I38" s="33"/>
      <c r="J38" s="130"/>
      <c r="K38" s="131"/>
    </row>
    <row r="39" spans="2:12" ht="14.4" x14ac:dyDescent="0.35">
      <c r="B39" s="132" t="s">
        <v>72</v>
      </c>
      <c r="C39" s="133"/>
      <c r="D39" s="133"/>
      <c r="E39" s="133"/>
      <c r="F39" s="133"/>
      <c r="G39" s="133"/>
      <c r="H39" s="133"/>
      <c r="I39" s="133"/>
      <c r="J39" s="133"/>
      <c r="K39" s="134"/>
    </row>
  </sheetData>
  <conditionalFormatting sqref="G33">
    <cfRule type="cellIs" dxfId="8" priority="7" stopIfTrue="1" operator="greaterThanOrEqual">
      <formula>0.6</formula>
    </cfRule>
    <cfRule type="cellIs" dxfId="7" priority="8" stopIfTrue="1" operator="between">
      <formula>0.3</formula>
      <formula>0.5999999999</formula>
    </cfRule>
    <cfRule type="cellIs" dxfId="6" priority="9" operator="lessThan">
      <formula>0.3</formula>
    </cfRule>
  </conditionalFormatting>
  <conditionalFormatting sqref="J10">
    <cfRule type="cellIs" dxfId="5" priority="4" stopIfTrue="1" operator="greaterThanOrEqual">
      <formula>0.15</formula>
    </cfRule>
    <cfRule type="cellIs" dxfId="4" priority="5" stopIfTrue="1" operator="between">
      <formula>0</formula>
      <formula>0.15</formula>
    </cfRule>
    <cfRule type="cellIs" dxfId="3" priority="6" operator="lessThan">
      <formula>0</formula>
    </cfRule>
  </conditionalFormatting>
  <conditionalFormatting sqref="H36">
    <cfRule type="cellIs" dxfId="2" priority="1" operator="greaterThanOrEqual">
      <formula>0.25</formula>
    </cfRule>
    <cfRule type="cellIs" dxfId="1" priority="2" operator="between">
      <formula>0.15</formula>
      <formula>0.25</formula>
    </cfRule>
    <cfRule type="cellIs" dxfId="0" priority="3" operator="lessThan">
      <formula>0.15</formula>
    </cfRule>
  </conditionalFormatting>
  <pageMargins left="0.75" right="0.75" top="1" bottom="1" header="0.5" footer="0.5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CB1 Maize farm (70 ha)</vt:lpstr>
      <vt:lpstr>'CB1 Maize farm (70 ha)'!ROE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dcterms:created xsi:type="dcterms:W3CDTF">2016-09-13T13:40:45Z</dcterms:created>
  <dcterms:modified xsi:type="dcterms:W3CDTF">2016-09-13T13:41:10Z</dcterms:modified>
</cp:coreProperties>
</file>