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\Google Drive\Cigar Box Training\IAC Ghana 2016\"/>
    </mc:Choice>
  </mc:AlternateContent>
  <bookViews>
    <workbookView xWindow="0" yWindow="0" windowWidth="20496" windowHeight="9048"/>
  </bookViews>
  <sheets>
    <sheet name="CB Data Gari" sheetId="5" r:id="rId1"/>
    <sheet name="CB1 Gari" sheetId="3" r:id="rId2"/>
    <sheet name="PR Gari" sheetId="2" r:id="rId3"/>
  </sheets>
  <externalReferences>
    <externalReference r:id="rId4"/>
    <externalReference r:id="rId5"/>
  </externalReferences>
  <definedNames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Intake">[1]Company!$O$2</definedName>
    <definedName name="_xlnm.Print_Area" localSheetId="0">'CB Data Gari'!$A$1:$L$60</definedName>
    <definedName name="ROE" localSheetId="0">#REF!</definedName>
    <definedName name="ROE" localSheetId="1">'CB1 Gari'!$L$3</definedName>
    <definedName name="ROE" localSheetId="2">[1]Tomato!$L$3</definedName>
    <definedName name="ROE">#REF!</definedName>
    <definedName name="Salary" localSheetId="0">#REF!</definedName>
    <definedName name="Salary" localSheetId="1">'CB1 Gari'!$O$33</definedName>
    <definedName name="Salary" localSheetId="2">[1]Tomato!$O$33</definedName>
    <definedName name="Salary">#REF!</definedName>
    <definedName name="Season">[1]Company!$N$15</definedName>
    <definedName name="XCH">[1]Company!$U$2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3" l="1"/>
  <c r="K58" i="5"/>
  <c r="F55" i="5"/>
  <c r="B34" i="5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33" i="5"/>
  <c r="K28" i="5"/>
  <c r="K23" i="5"/>
  <c r="K22" i="5"/>
  <c r="K19" i="5"/>
  <c r="K18" i="5"/>
  <c r="K20" i="5" s="1"/>
  <c r="K15" i="5"/>
  <c r="K17" i="5" s="1"/>
  <c r="K13" i="5"/>
  <c r="K12" i="5"/>
  <c r="K11" i="5"/>
  <c r="K24" i="5" l="1"/>
  <c r="K25" i="5" s="1"/>
  <c r="K26" i="5" s="1"/>
  <c r="K6" i="5"/>
  <c r="K29" i="5" l="1"/>
  <c r="K27" i="5"/>
  <c r="D23" i="3"/>
  <c r="D18" i="3"/>
  <c r="D17" i="3"/>
  <c r="D11" i="3"/>
  <c r="H21" i="3"/>
  <c r="H15" i="3"/>
  <c r="H20" i="3"/>
  <c r="D9" i="3"/>
  <c r="H11" i="3" s="1"/>
  <c r="D24" i="3" l="1"/>
  <c r="D7" i="3"/>
  <c r="D6" i="3" s="1"/>
  <c r="H35" i="3"/>
  <c r="H17" i="3"/>
  <c r="D14" i="3"/>
  <c r="H4" i="3"/>
  <c r="D3" i="3"/>
  <c r="H22" i="3" l="1"/>
  <c r="D19" i="3"/>
  <c r="H13" i="3"/>
  <c r="H24" i="3" l="1"/>
  <c r="E9" i="3"/>
  <c r="E8" i="3"/>
  <c r="E6" i="3"/>
  <c r="E7" i="3"/>
  <c r="H27" i="3" l="1"/>
  <c r="I24" i="3"/>
  <c r="I21" i="3"/>
  <c r="I22" i="3"/>
  <c r="I20" i="3"/>
  <c r="I17" i="3"/>
  <c r="I13" i="3"/>
  <c r="E15" i="2" l="1"/>
  <c r="D17" i="2"/>
  <c r="D16" i="2"/>
  <c r="D13" i="2"/>
  <c r="E13" i="2" s="1"/>
  <c r="D14" i="2"/>
  <c r="D5" i="2"/>
  <c r="D6" i="2" s="1"/>
  <c r="F8" i="2"/>
  <c r="F5" i="2"/>
  <c r="F6" i="2" s="1"/>
  <c r="H6" i="2" s="1"/>
  <c r="G4" i="2"/>
  <c r="H4" i="2"/>
  <c r="I4" i="2" s="1"/>
  <c r="F7" i="2"/>
  <c r="I6" i="2" l="1"/>
  <c r="G5" i="2"/>
  <c r="G6" i="2"/>
  <c r="G7" i="2" s="1"/>
  <c r="H5" i="2"/>
  <c r="I5" i="2" s="1"/>
  <c r="J5" i="2" s="1"/>
  <c r="E17" i="2"/>
  <c r="F13" i="2"/>
  <c r="E14" i="2"/>
  <c r="F17" i="2" l="1"/>
  <c r="F15" i="2"/>
  <c r="F14" i="2"/>
  <c r="G8" i="2"/>
  <c r="D7" i="2"/>
  <c r="I7" i="2" s="1"/>
  <c r="J7" i="2" s="1"/>
  <c r="J6" i="2"/>
  <c r="E16" i="2"/>
  <c r="F16" i="2" s="1"/>
  <c r="D8" i="2" l="1"/>
  <c r="D9" i="2" s="1"/>
  <c r="D10" i="2" s="1"/>
  <c r="D12" i="3" s="1"/>
  <c r="H29" i="3" l="1"/>
  <c r="D13" i="3"/>
  <c r="I8" i="2"/>
  <c r="J8" i="2" s="1"/>
  <c r="D15" i="3" l="1"/>
  <c r="H39" i="3"/>
  <c r="H6" i="3"/>
  <c r="D34" i="3"/>
  <c r="D27" i="3" l="1"/>
  <c r="E13" i="3" s="1"/>
  <c r="D26" i="3"/>
  <c r="D29" i="3"/>
  <c r="E24" i="3"/>
  <c r="E14" i="3"/>
  <c r="D36" i="3" l="1"/>
  <c r="E15" i="3"/>
  <c r="E27" i="3"/>
  <c r="D32" i="3"/>
  <c r="H7" i="3"/>
  <c r="H8" i="3" s="1"/>
  <c r="H9" i="3" s="1"/>
  <c r="E19" i="3"/>
  <c r="D30" i="3"/>
  <c r="H30" i="3"/>
  <c r="H32" i="3"/>
  <c r="H33" i="3" s="1"/>
  <c r="E36" i="3"/>
  <c r="D38" i="3"/>
  <c r="E32" i="3"/>
  <c r="E34" i="3"/>
</calcChain>
</file>

<file path=xl/comments1.xml><?xml version="1.0" encoding="utf-8"?>
<comments xmlns="http://schemas.openxmlformats.org/spreadsheetml/2006/main">
  <authors>
    <author>Olivier van Lieshout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900 cedi per truckload of 30 bags of 110 kg each / ROE USD/Cedi =3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Stock of 206 bags unsold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Target income of the ladies is Cedi 15 per day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Olivier van Lieshout:</t>
        </r>
        <r>
          <rPr>
            <sz val="9"/>
            <color indexed="81"/>
            <rFont val="Tahoma"/>
            <family val="2"/>
          </rPr>
          <t xml:space="preserve">
2 truck loads of cassava per week</t>
        </r>
      </text>
    </comment>
  </commentList>
</comments>
</file>

<file path=xl/sharedStrings.xml><?xml version="1.0" encoding="utf-8"?>
<sst xmlns="http://schemas.openxmlformats.org/spreadsheetml/2006/main" count="266" uniqueCount="221">
  <si>
    <t>CIGAR BOX 1 - Pulpe de Mangues, 16 Bx, emballagés en sac aseptic en drum de 210 kg</t>
  </si>
  <si>
    <t>per ton</t>
  </si>
  <si>
    <t>per year</t>
  </si>
  <si>
    <t>Prix (C&amp;F Rotterdam)</t>
  </si>
  <si>
    <t>Total Revenue (Delivered)</t>
  </si>
  <si>
    <t>Chiffre d’affaires</t>
  </si>
  <si>
    <t>VC4 Frète de mer</t>
  </si>
  <si>
    <t>Total Cost</t>
  </si>
  <si>
    <t>Coûts total</t>
  </si>
  <si>
    <t>VC4 Frète a l'intérieur du pays</t>
  </si>
  <si>
    <t>Profit Before Tax</t>
  </si>
  <si>
    <t>Résultat avant Impôts</t>
  </si>
  <si>
    <t>Price (EXW)</t>
  </si>
  <si>
    <t>P (EXW)</t>
  </si>
  <si>
    <t>Profitability %</t>
  </si>
  <si>
    <t>Résultat %</t>
  </si>
  <si>
    <t>Prix (Mangues, livré)</t>
  </si>
  <si>
    <t>Valeur d'investissement</t>
  </si>
  <si>
    <t>Processing ratio</t>
  </si>
  <si>
    <t>Ratio de transformation</t>
  </si>
  <si>
    <t>Depreciation %</t>
  </si>
  <si>
    <t>Amortissement %</t>
  </si>
  <si>
    <t>Raw Material cost</t>
  </si>
  <si>
    <t>Coût de Matière Premières</t>
  </si>
  <si>
    <t>FC1</t>
  </si>
  <si>
    <t>Other ingredients</t>
  </si>
  <si>
    <t>Autres ingrédients</t>
  </si>
  <si>
    <t>VC1</t>
  </si>
  <si>
    <t>Emprunts</t>
  </si>
  <si>
    <t>Interest rate</t>
  </si>
  <si>
    <t>Taux d'intérêt, frais financières</t>
  </si>
  <si>
    <t>Coût de production par heur</t>
  </si>
  <si>
    <t>FC2</t>
  </si>
  <si>
    <t>Volume de production par heur</t>
  </si>
  <si>
    <t>VC2</t>
  </si>
  <si>
    <t>Number of FTE employed</t>
  </si>
  <si>
    <t>Nombre de FTE employés</t>
  </si>
  <si>
    <t>Salaries staff incl. social taxes</t>
  </si>
  <si>
    <t>Salaires permanents, charges sociaux</t>
  </si>
  <si>
    <t>Autres frais fixes</t>
  </si>
  <si>
    <t>Стоимость единицы упаковки</t>
  </si>
  <si>
    <t>FC3</t>
  </si>
  <si>
    <t>Кол-во единиц упаковки на тонну</t>
  </si>
  <si>
    <t>VC3</t>
  </si>
  <si>
    <t>FC</t>
  </si>
  <si>
    <t>Pertes de produit fini</t>
  </si>
  <si>
    <t>FC % attributed to product</t>
  </si>
  <si>
    <t>FC % attribué au produit</t>
  </si>
  <si>
    <t>VC</t>
  </si>
  <si>
    <t>FC (attributed to product)</t>
  </si>
  <si>
    <t>FC (attribué au produit)</t>
  </si>
  <si>
    <t>Margin</t>
  </si>
  <si>
    <t>Marge brute</t>
  </si>
  <si>
    <t>Volume sold q (ton)</t>
  </si>
  <si>
    <t>Volume vendu q en kg</t>
  </si>
  <si>
    <t>Margin % of Price (EXW)</t>
  </si>
  <si>
    <t>Marge brute %</t>
  </si>
  <si>
    <t>Contribution</t>
  </si>
  <si>
    <t>Break even volume (sales)</t>
  </si>
  <si>
    <t>Volume d'Équilibre</t>
  </si>
  <si>
    <t>Break even volume (raw material)</t>
  </si>
  <si>
    <t>Matières premières achetés</t>
  </si>
  <si>
    <t>Fixed Cost / q</t>
  </si>
  <si>
    <t>FC / q</t>
  </si>
  <si>
    <t>Output capacity per hour in ton</t>
  </si>
  <si>
    <t>Capacité d’input par heure en KG</t>
  </si>
  <si>
    <t>Total Cost / q</t>
  </si>
  <si>
    <t>TC / q</t>
  </si>
  <si>
    <t>Production hours per day</t>
  </si>
  <si>
    <t>Heures de travail par jour</t>
  </si>
  <si>
    <t>Saison de production en jours</t>
  </si>
  <si>
    <t>Profit / q</t>
  </si>
  <si>
    <t>Bénéfice / q</t>
  </si>
  <si>
    <t>Length of harvesting season in days</t>
  </si>
  <si>
    <t>Capacité max. d’input par an en kg</t>
  </si>
  <si>
    <t>Capacity utilization</t>
  </si>
  <si>
    <t>Utilisation de capacité %</t>
  </si>
  <si>
    <t>Parity price</t>
  </si>
  <si>
    <t>PR</t>
  </si>
  <si>
    <t>Solids</t>
  </si>
  <si>
    <t>processing ratio</t>
  </si>
  <si>
    <t>overall losses</t>
  </si>
  <si>
    <t>kg</t>
  </si>
  <si>
    <t>added water</t>
  </si>
  <si>
    <t>water</t>
  </si>
  <si>
    <t>solids</t>
  </si>
  <si>
    <t>OFORIKROM, GARI PROCESSORS NOVICI</t>
  </si>
  <si>
    <t>GARI FROM CASSAVA</t>
  </si>
  <si>
    <t>intake</t>
  </si>
  <si>
    <t>after peeling</t>
  </si>
  <si>
    <t>after frying</t>
  </si>
  <si>
    <t>after grating</t>
  </si>
  <si>
    <t>after dewatering</t>
  </si>
  <si>
    <t>unit</t>
  </si>
  <si>
    <t>Price (cassava delivered)</t>
  </si>
  <si>
    <t>Production cost per ton (firewood)</t>
  </si>
  <si>
    <t>Cost of packing (19 tins of 1.6 kg per bag)</t>
  </si>
  <si>
    <t xml:space="preserve">Gari from cassava, sold in woven PP bags of </t>
  </si>
  <si>
    <t>FG losses % in storage</t>
  </si>
  <si>
    <t>Other overhead, rent, internal revenue tax</t>
  </si>
  <si>
    <t>Debt (to farmers)</t>
  </si>
  <si>
    <t>Maximum capacity per year</t>
  </si>
  <si>
    <t>Asset value (+stocks of goods)</t>
  </si>
  <si>
    <t>Production cost per ton (peeling, grating)</t>
  </si>
  <si>
    <t>VC4 Sales commission</t>
  </si>
  <si>
    <t>Price (delivered prison)</t>
  </si>
  <si>
    <t>=2*3.3/4.13 *52</t>
  </si>
  <si>
    <t>Good margin</t>
  </si>
  <si>
    <t>Margin per ton</t>
  </si>
  <si>
    <t xml:space="preserve">= 1000 / 30.4 kg </t>
  </si>
  <si>
    <t>Number of bags per ton</t>
  </si>
  <si>
    <t>= 19 tins * 1.6 kg = 30.4 kg</t>
  </si>
  <si>
    <t>=2 *(10*110) /4.13 = 530
= 100 / 530 * 1000</t>
  </si>
  <si>
    <t>=((30+30)/10/110)*1000</t>
  </si>
  <si>
    <t>Cedi 30 per compartment of 10 bags of 110 kg each bag for peeling + Cedi 30 per compartment for grating</t>
  </si>
  <si>
    <t>No oil or other ingredients are used.</t>
  </si>
  <si>
    <t>( = 273 * 4.13)</t>
  </si>
  <si>
    <t>= 30 / 110 * 1000</t>
  </si>
  <si>
    <t>= 4 / 1.6 *1000</t>
  </si>
  <si>
    <t>VC4 transport to prison</t>
  </si>
  <si>
    <t>Cedi</t>
  </si>
  <si>
    <t>Price/ton</t>
  </si>
  <si>
    <t>Calculating the Processing Ratio</t>
  </si>
  <si>
    <t>SN</t>
  </si>
  <si>
    <t>Parameter</t>
  </si>
  <si>
    <t>Calculation</t>
  </si>
  <si>
    <t>Answer</t>
  </si>
  <si>
    <t>VC4</t>
  </si>
  <si>
    <t>Sales commission paid to middleman</t>
  </si>
  <si>
    <t>Transport to prison</t>
  </si>
  <si>
    <t>Information from enterpreneur (story problem)</t>
  </si>
  <si>
    <t>Question to enterpreneur</t>
  </si>
  <si>
    <t>VAT on the price</t>
  </si>
  <si>
    <t>Price paid by client, excluding VAT</t>
  </si>
  <si>
    <t>How much VAT is charged for the product?</t>
  </si>
  <si>
    <t>What price does your client pay?</t>
  </si>
  <si>
    <t>How much commission must you pay to a middleman?</t>
  </si>
  <si>
    <t>How much is the average transport cost to your clients?</t>
  </si>
  <si>
    <t>Number of clients</t>
  </si>
  <si>
    <t>How many clients buy your product?</t>
  </si>
  <si>
    <t>Contribution per year</t>
  </si>
  <si>
    <t>Do you use other ingredients? If yes, what is the cost of them in 1 kg of finished product?</t>
  </si>
  <si>
    <t>How many kg of finished can you make from 1 kg of raw material, or: 
How many kg of raw material do you need for 1 kg of finished product?</t>
  </si>
  <si>
    <t>What is the production process? For every step,  calculculate the cost per kg of finished product.</t>
  </si>
  <si>
    <t>E.g. "Last week/month I paid $$, and we produced xx tons of finished product", or:
"One tractor load of firewood is enough to process 20 bags"</t>
  </si>
  <si>
    <t xml:space="preserve">=$$/xx
</t>
  </si>
  <si>
    <t>How much energy do you use per kg of finished product?</t>
  </si>
  <si>
    <t>FG losses % in storage, goods returned</t>
  </si>
  <si>
    <t>Pecentage losses</t>
  </si>
  <si>
    <t>Debt</t>
  </si>
  <si>
    <t>Salaries staff incl. taxes</t>
  </si>
  <si>
    <t>Other overhead (rent/internal tax)</t>
  </si>
  <si>
    <t>Attribution of FC to product</t>
  </si>
  <si>
    <t>Output capacity per hour</t>
  </si>
  <si>
    <t>Fixed Costs Parameter</t>
  </si>
  <si>
    <t>FC per ton</t>
  </si>
  <si>
    <t>Value of land and building</t>
  </si>
  <si>
    <t>Value of equipment and machinery</t>
  </si>
  <si>
    <t>Total value of assets</t>
  </si>
  <si>
    <t>Value of transport and all other assets</t>
  </si>
  <si>
    <t>Interest rate per year</t>
  </si>
  <si>
    <t>FC4</t>
  </si>
  <si>
    <t>Salaries paid, incl. all taxes</t>
  </si>
  <si>
    <t>=(37)+(38)</t>
  </si>
  <si>
    <t>Capacity Utilization %</t>
  </si>
  <si>
    <t>Length of harvesting/operating season</t>
  </si>
  <si>
    <t>Breakeven quantity in ton per year</t>
  </si>
  <si>
    <t>=33/100*24 = 7.92 kg</t>
  </si>
  <si>
    <t>Profit per year</t>
  </si>
  <si>
    <t>Profitability</t>
  </si>
  <si>
    <t>Sales revenues per year</t>
  </si>
  <si>
    <t>=(10)*((26)</t>
  </si>
  <si>
    <t>=(4)/(1+VAT%)</t>
  </si>
  <si>
    <t>=(4) * Commission%</t>
  </si>
  <si>
    <t>=(7)+(8)</t>
  </si>
  <si>
    <t>=(6)-(9)</t>
  </si>
  <si>
    <t>=(11)*(12)</t>
  </si>
  <si>
    <t>=(13)+(14)</t>
  </si>
  <si>
    <t>=(18)+(19)</t>
  </si>
  <si>
    <t>=(19)*(20)</t>
  </si>
  <si>
    <t>=((15)+(18)+(21)) * Loss%</t>
  </si>
  <si>
    <t>=(15)+(18)+(21)+(22)</t>
  </si>
  <si>
    <t>=(10)-(23)</t>
  </si>
  <si>
    <t>=(24)/(10)</t>
  </si>
  <si>
    <t>=(24)*(26)</t>
  </si>
  <si>
    <t>=(28)+(29)+(30)</t>
  </si>
  <si>
    <t>=(31)*6.5%</t>
  </si>
  <si>
    <t>=(33)*(34)</t>
  </si>
  <si>
    <t>=(40)+(41)</t>
  </si>
  <si>
    <t>=((32)+(35)+(39)+(42)) * (43)</t>
  </si>
  <si>
    <t>=(44)/(26)</t>
  </si>
  <si>
    <t>=(44)/(24)</t>
  </si>
  <si>
    <t>=(50)/(26)*100%</t>
  </si>
  <si>
    <t>=(27)-(44)</t>
  </si>
  <si>
    <t>=(53)/(52)*100%</t>
  </si>
  <si>
    <t>Price of the selling unit paid by client</t>
  </si>
  <si>
    <t>=(3)/ Weight Selling Unit</t>
  </si>
  <si>
    <t>What is the Product? Weight of the Primary Unit? # of primary units per Selling unit? Weight of selling unit in kg, Shelf life</t>
  </si>
  <si>
    <t>Description of the Finished Product; the Selling Unit, and the Shelf Life</t>
  </si>
  <si>
    <t>E.g. Pasteurized Orange juice in glass bottles of 33cl in a wooden crate of 24 bottles. Shelf life of 6 months.</t>
  </si>
  <si>
    <t>E.g. "$$ per crate"</t>
  </si>
  <si>
    <t>Price of the selling unit in kg</t>
  </si>
  <si>
    <t>Price (Raw material delivered)</t>
  </si>
  <si>
    <t>Processing cost per ton (peeling, grating))</t>
  </si>
  <si>
    <t>Energy cost per ton (diesel, electricity, firewood)</t>
  </si>
  <si>
    <t>Number of selling units per ton</t>
  </si>
  <si>
    <t>Quantity sold q (kg per year)</t>
  </si>
  <si>
    <t>How much finished product do you sell per year?</t>
  </si>
  <si>
    <t>How many selling units go into one kg?</t>
  </si>
  <si>
    <t>Packing cost of one selling unit</t>
  </si>
  <si>
    <t>What is the cost price of the primary packaging material? How many % material losses you have? What is the cost of secondary (and tertiary) packaging material?</t>
  </si>
  <si>
    <t>E.g. "I use 3 gram flow pack per unit. The flow pack costs $110 per roll of 2.5 kg. My material losses are about 5%. The plastic crate for 24 units costs $1.70</t>
  </si>
  <si>
    <t>=((0.003/2.5*$110)*(1.05)) * 24+$1.70 = $5.00</t>
  </si>
  <si>
    <t>Information obtained</t>
  </si>
  <si>
    <t>Calc. Made</t>
  </si>
  <si>
    <t>Attribution % of FC to product</t>
  </si>
  <si>
    <t>If there is only product, the Attribution = 100%</t>
  </si>
  <si>
    <t>E.g. "We process and sell 2 cassava trucks per week", or: "Every week I sell 20 crates, but in Summer I sell 40 crates".</t>
  </si>
  <si>
    <r>
      <t xml:space="preserve">Note: figures in </t>
    </r>
    <r>
      <rPr>
        <b/>
        <i/>
        <sz val="10"/>
        <color indexed="12"/>
        <rFont val="Arial"/>
        <family val="2"/>
      </rPr>
      <t>blue</t>
    </r>
    <r>
      <rPr>
        <i/>
        <sz val="10"/>
        <rFont val="Arial"/>
        <family val="2"/>
      </rPr>
      <t xml:space="preserve"> are assumptions; figures in </t>
    </r>
    <r>
      <rPr>
        <b/>
        <i/>
        <sz val="10"/>
        <color indexed="14"/>
        <rFont val="Arial"/>
        <family val="2"/>
      </rPr>
      <t>pink</t>
    </r>
    <r>
      <rPr>
        <i/>
        <sz val="10"/>
        <rFont val="Arial"/>
        <family val="2"/>
      </rPr>
      <t xml:space="preserve"> are calculated in another sheet; figures in </t>
    </r>
    <r>
      <rPr>
        <b/>
        <i/>
        <sz val="10"/>
        <rFont val="Arial"/>
        <family val="2"/>
      </rPr>
      <t>black</t>
    </r>
    <r>
      <rPr>
        <i/>
        <sz val="10"/>
        <rFont val="Arial"/>
        <family val="2"/>
      </rPr>
      <t xml:space="preserve"> are formulas</t>
    </r>
  </si>
  <si>
    <r>
      <t xml:space="preserve">Note: chiffres en </t>
    </r>
    <r>
      <rPr>
        <b/>
        <i/>
        <sz val="10"/>
        <color indexed="12"/>
        <rFont val="Arial"/>
        <family val="2"/>
      </rPr>
      <t>blues</t>
    </r>
    <r>
      <rPr>
        <i/>
        <sz val="10"/>
        <rFont val="Arial"/>
        <family val="2"/>
      </rPr>
      <t xml:space="preserve"> sont des suppositions; chiffres en </t>
    </r>
    <r>
      <rPr>
        <b/>
        <i/>
        <sz val="10"/>
        <color indexed="14"/>
        <rFont val="Arial"/>
        <family val="2"/>
      </rPr>
      <t>rose</t>
    </r>
    <r>
      <rPr>
        <i/>
        <sz val="10"/>
        <rFont val="Arial"/>
        <family val="2"/>
      </rPr>
      <t xml:space="preserve"> contient un lien avec une autre cellule; chiffres en </t>
    </r>
    <r>
      <rPr>
        <b/>
        <i/>
        <sz val="10"/>
        <rFont val="Arial"/>
        <family val="2"/>
      </rPr>
      <t>noir</t>
    </r>
    <r>
      <rPr>
        <i/>
        <sz val="10"/>
        <rFont val="Arial"/>
        <family val="2"/>
      </rPr>
      <t xml:space="preserve"> sont des formules.</t>
    </r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</si>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</sst>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0.0%"/>
    <numFmt numFmtId="167" formatCode="0.0"/>
    <numFmt numFmtId="168" formatCode="_-* #,##0.000_-;\-* #,##0.000_-;_-* &quot;-&quot;??_-;_-@_-"/>
    <numFmt numFmtId="169" formatCode="_-* #,##0.0_-;\-* #,##0.0_-;_-* &quot;-&quot;??_-;_-@_-"/>
  </numFmts>
  <fonts count="29" x14ac:knownFonts="1">
    <font>
      <sz val="10"/>
      <name val="Arial"/>
    </font>
    <font>
      <sz val="11"/>
      <color theme="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</font>
    <font>
      <sz val="10"/>
      <color rgb="FF0000FF"/>
      <name val="Calibri"/>
      <family val="2"/>
    </font>
    <font>
      <sz val="10"/>
      <color theme="1"/>
      <name val="Calibri"/>
      <family val="2"/>
    </font>
    <font>
      <b/>
      <sz val="10"/>
      <color rgb="FF0000FF"/>
      <name val="Calibri"/>
      <family val="2"/>
    </font>
    <font>
      <b/>
      <sz val="11"/>
      <color theme="0"/>
      <name val="Calibri"/>
      <family val="2"/>
    </font>
    <font>
      <sz val="14"/>
      <color rgb="FFFFFFF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0000FF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0000FF"/>
      <name val="Arial"/>
      <family val="2"/>
    </font>
    <font>
      <sz val="10"/>
      <color rgb="FFFF00FF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4"/>
      <name val="Arial"/>
      <family val="2"/>
    </font>
    <font>
      <b/>
      <i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11">
    <xf numFmtId="0" fontId="0" fillId="0" borderId="0" xfId="0"/>
    <xf numFmtId="0" fontId="2" fillId="0" borderId="14" xfId="3" applyBorder="1"/>
    <xf numFmtId="1" fontId="2" fillId="0" borderId="16" xfId="3" applyNumberFormat="1" applyBorder="1"/>
    <xf numFmtId="1" fontId="2" fillId="0" borderId="0" xfId="3" applyNumberFormat="1" applyBorder="1"/>
    <xf numFmtId="0" fontId="2" fillId="0" borderId="0" xfId="3" applyBorder="1"/>
    <xf numFmtId="0" fontId="5" fillId="0" borderId="0" xfId="3" applyFont="1" applyBorder="1"/>
    <xf numFmtId="0" fontId="2" fillId="0" borderId="20" xfId="3" applyFont="1" applyBorder="1"/>
    <xf numFmtId="0" fontId="2" fillId="0" borderId="13" xfId="3" applyBorder="1"/>
    <xf numFmtId="0" fontId="2" fillId="0" borderId="15" xfId="3" applyFont="1" applyBorder="1"/>
    <xf numFmtId="0" fontId="2" fillId="0" borderId="16" xfId="3" applyBorder="1"/>
    <xf numFmtId="9" fontId="5" fillId="0" borderId="0" xfId="3" applyNumberFormat="1" applyFont="1" applyBorder="1"/>
    <xf numFmtId="0" fontId="2" fillId="0" borderId="17" xfId="3" applyFont="1" applyBorder="1"/>
    <xf numFmtId="9" fontId="2" fillId="0" borderId="0" xfId="3" applyNumberFormat="1" applyBorder="1"/>
    <xf numFmtId="0" fontId="2" fillId="0" borderId="0" xfId="3" applyFont="1" applyBorder="1"/>
    <xf numFmtId="0" fontId="2" fillId="0" borderId="21" xfId="3" applyFont="1" applyBorder="1"/>
    <xf numFmtId="0" fontId="2" fillId="0" borderId="22" xfId="3" applyBorder="1"/>
    <xf numFmtId="0" fontId="2" fillId="0" borderId="22" xfId="3" applyFont="1" applyBorder="1"/>
    <xf numFmtId="0" fontId="2" fillId="0" borderId="23" xfId="3" applyFont="1" applyBorder="1"/>
    <xf numFmtId="164" fontId="2" fillId="0" borderId="19" xfId="3" applyNumberFormat="1" applyBorder="1"/>
    <xf numFmtId="0" fontId="2" fillId="0" borderId="19" xfId="3" applyBorder="1"/>
    <xf numFmtId="9" fontId="5" fillId="0" borderId="0" xfId="3" applyNumberFormat="1" applyFont="1" applyFill="1" applyBorder="1"/>
    <xf numFmtId="9" fontId="2" fillId="7" borderId="17" xfId="3" applyNumberFormat="1" applyFill="1" applyBorder="1"/>
    <xf numFmtId="9" fontId="2" fillId="0" borderId="17" xfId="3" applyNumberFormat="1" applyBorder="1"/>
    <xf numFmtId="9" fontId="2" fillId="6" borderId="17" xfId="3" applyNumberFormat="1" applyFill="1" applyBorder="1"/>
    <xf numFmtId="9" fontId="2" fillId="0" borderId="15" xfId="3" applyNumberFormat="1" applyBorder="1"/>
    <xf numFmtId="0" fontId="2" fillId="6" borderId="18" xfId="3" applyFill="1" applyBorder="1"/>
    <xf numFmtId="0" fontId="5" fillId="6" borderId="0" xfId="3" applyFont="1" applyFill="1" applyBorder="1"/>
    <xf numFmtId="0" fontId="2" fillId="6" borderId="0" xfId="3" applyFill="1" applyBorder="1"/>
    <xf numFmtId="1" fontId="2" fillId="6" borderId="0" xfId="3" applyNumberFormat="1" applyFill="1" applyBorder="1"/>
    <xf numFmtId="1" fontId="2" fillId="6" borderId="16" xfId="3" applyNumberFormat="1" applyFill="1" applyBorder="1"/>
    <xf numFmtId="0" fontId="2" fillId="6" borderId="14" xfId="3" applyFill="1" applyBorder="1"/>
    <xf numFmtId="1" fontId="2" fillId="6" borderId="14" xfId="3" applyNumberFormat="1" applyFill="1" applyBorder="1"/>
    <xf numFmtId="1" fontId="2" fillId="6" borderId="13" xfId="3" applyNumberFormat="1" applyFill="1" applyBorder="1"/>
    <xf numFmtId="0" fontId="1" fillId="9" borderId="0" xfId="4" applyFill="1"/>
    <xf numFmtId="2" fontId="2" fillId="0" borderId="14" xfId="3" applyNumberFormat="1" applyBorder="1"/>
    <xf numFmtId="2" fontId="5" fillId="6" borderId="0" xfId="3" applyNumberFormat="1" applyFont="1" applyFill="1" applyBorder="1"/>
    <xf numFmtId="2" fontId="5" fillId="6" borderId="14" xfId="3" applyNumberFormat="1" applyFont="1" applyFill="1" applyBorder="1"/>
    <xf numFmtId="0" fontId="2" fillId="6" borderId="19" xfId="3" applyFont="1" applyFill="1" applyBorder="1" applyAlignment="1">
      <alignment horizontal="center"/>
    </xf>
    <xf numFmtId="0" fontId="2" fillId="6" borderId="18" xfId="3" applyFont="1" applyFill="1" applyBorder="1" applyAlignment="1"/>
    <xf numFmtId="0" fontId="2" fillId="9" borderId="0" xfId="3" applyFill="1"/>
    <xf numFmtId="0" fontId="2" fillId="9" borderId="0" xfId="3" applyFont="1" applyFill="1"/>
    <xf numFmtId="0" fontId="2" fillId="6" borderId="0" xfId="3" applyFill="1"/>
    <xf numFmtId="0" fontId="6" fillId="6" borderId="0" xfId="3" applyFont="1" applyFill="1"/>
    <xf numFmtId="0" fontId="1" fillId="9" borderId="0" xfId="4" applyFill="1" applyAlignment="1">
      <alignment horizontal="center"/>
    </xf>
    <xf numFmtId="0" fontId="1" fillId="9" borderId="0" xfId="4" applyFill="1" applyAlignment="1"/>
    <xf numFmtId="0" fontId="9" fillId="10" borderId="11" xfId="4" applyFont="1" applyFill="1" applyBorder="1" applyAlignment="1">
      <alignment vertical="center" wrapText="1"/>
    </xf>
    <xf numFmtId="0" fontId="9" fillId="0" borderId="11" xfId="4" applyFont="1" applyBorder="1" applyAlignment="1">
      <alignment vertical="center" wrapText="1"/>
    </xf>
    <xf numFmtId="9" fontId="9" fillId="6" borderId="11" xfId="4" applyNumberFormat="1" applyFont="1" applyFill="1" applyBorder="1" applyAlignment="1">
      <alignment horizontal="right" vertical="center"/>
    </xf>
    <xf numFmtId="0" fontId="9" fillId="13" borderId="11" xfId="4" applyFont="1" applyFill="1" applyBorder="1" applyAlignment="1">
      <alignment horizontal="left" vertical="center" wrapText="1" indent="1"/>
    </xf>
    <xf numFmtId="3" fontId="7" fillId="13" borderId="11" xfId="4" applyNumberFormat="1" applyFont="1" applyFill="1" applyBorder="1" applyAlignment="1">
      <alignment horizontal="right" vertical="center"/>
    </xf>
    <xf numFmtId="3" fontId="7" fillId="6" borderId="11" xfId="4" applyNumberFormat="1" applyFont="1" applyFill="1" applyBorder="1" applyAlignment="1">
      <alignment horizontal="right" vertical="center"/>
    </xf>
    <xf numFmtId="3" fontId="9" fillId="6" borderId="11" xfId="4" applyNumberFormat="1" applyFont="1" applyFill="1" applyBorder="1" applyAlignment="1">
      <alignment horizontal="right" vertical="center"/>
    </xf>
    <xf numFmtId="3" fontId="7" fillId="12" borderId="11" xfId="4" applyNumberFormat="1" applyFont="1" applyFill="1" applyBorder="1" applyAlignment="1">
      <alignment horizontal="right" vertical="center"/>
    </xf>
    <xf numFmtId="0" fontId="9" fillId="0" borderId="11" xfId="4" quotePrefix="1" applyFont="1" applyBorder="1" applyAlignment="1">
      <alignment vertical="center" wrapText="1"/>
    </xf>
    <xf numFmtId="2" fontId="8" fillId="10" borderId="11" xfId="4" applyNumberFormat="1" applyFont="1" applyFill="1" applyBorder="1" applyAlignment="1">
      <alignment horizontal="right" vertical="center"/>
    </xf>
    <xf numFmtId="0" fontId="11" fillId="2" borderId="11" xfId="4" applyFont="1" applyFill="1" applyBorder="1" applyAlignment="1">
      <alignment horizontal="center"/>
    </xf>
    <xf numFmtId="0" fontId="11" fillId="2" borderId="11" xfId="4" applyFont="1" applyFill="1" applyBorder="1"/>
    <xf numFmtId="167" fontId="8" fillId="0" borderId="11" xfId="4" applyNumberFormat="1" applyFont="1" applyBorder="1" applyAlignment="1">
      <alignment vertical="center" wrapText="1"/>
    </xf>
    <xf numFmtId="0" fontId="9" fillId="13" borderId="11" xfId="4" applyFont="1" applyFill="1" applyBorder="1" applyAlignment="1">
      <alignment vertical="center" wrapText="1"/>
    </xf>
    <xf numFmtId="0" fontId="9" fillId="10" borderId="11" xfId="4" quotePrefix="1" applyFont="1" applyFill="1" applyBorder="1" applyAlignment="1">
      <alignment vertical="center"/>
    </xf>
    <xf numFmtId="1" fontId="8" fillId="10" borderId="11" xfId="4" applyNumberFormat="1" applyFont="1" applyFill="1" applyBorder="1" applyAlignment="1">
      <alignment vertical="center"/>
    </xf>
    <xf numFmtId="1" fontId="7" fillId="13" borderId="11" xfId="4" applyNumberFormat="1" applyFont="1" applyFill="1" applyBorder="1" applyAlignment="1">
      <alignment horizontal="right" vertical="center"/>
    </xf>
    <xf numFmtId="0" fontId="9" fillId="12" borderId="11" xfId="4" applyFont="1" applyFill="1" applyBorder="1" applyAlignment="1">
      <alignment vertical="center" wrapText="1"/>
    </xf>
    <xf numFmtId="0" fontId="9" fillId="12" borderId="11" xfId="4" quotePrefix="1" applyFont="1" applyFill="1" applyBorder="1" applyAlignment="1">
      <alignment vertical="center" wrapText="1"/>
    </xf>
    <xf numFmtId="3" fontId="10" fillId="12" borderId="11" xfId="4" applyNumberFormat="1" applyFont="1" applyFill="1" applyBorder="1" applyAlignment="1">
      <alignment horizontal="right" vertical="center"/>
    </xf>
    <xf numFmtId="0" fontId="9" fillId="10" borderId="11" xfId="4" quotePrefix="1" applyFont="1" applyFill="1" applyBorder="1" applyAlignment="1">
      <alignment vertical="center" wrapText="1"/>
    </xf>
    <xf numFmtId="1" fontId="8" fillId="10" borderId="11" xfId="4" applyNumberFormat="1" applyFont="1" applyFill="1" applyBorder="1" applyAlignment="1">
      <alignment vertical="center" wrapText="1"/>
    </xf>
    <xf numFmtId="0" fontId="8" fillId="10" borderId="11" xfId="4" applyFont="1" applyFill="1" applyBorder="1" applyAlignment="1">
      <alignment horizontal="right" vertical="center"/>
    </xf>
    <xf numFmtId="3" fontId="9" fillId="10" borderId="11" xfId="4" applyNumberFormat="1" applyFont="1" applyFill="1" applyBorder="1" applyAlignment="1">
      <alignment horizontal="right" vertical="center"/>
    </xf>
    <xf numFmtId="167" fontId="8" fillId="10" borderId="11" xfId="4" applyNumberFormat="1" applyFont="1" applyFill="1" applyBorder="1" applyAlignment="1">
      <alignment vertical="center" wrapText="1"/>
    </xf>
    <xf numFmtId="2" fontId="8" fillId="0" borderId="11" xfId="4" applyNumberFormat="1" applyFont="1" applyBorder="1" applyAlignment="1">
      <alignment horizontal="right" vertical="center"/>
    </xf>
    <xf numFmtId="167" fontId="8" fillId="10" borderId="11" xfId="4" applyNumberFormat="1" applyFont="1" applyFill="1" applyBorder="1" applyAlignment="1">
      <alignment horizontal="right" vertical="center"/>
    </xf>
    <xf numFmtId="1" fontId="8" fillId="10" borderId="11" xfId="4" applyNumberFormat="1" applyFont="1" applyFill="1" applyBorder="1" applyAlignment="1">
      <alignment horizontal="right" vertical="center"/>
    </xf>
    <xf numFmtId="9" fontId="9" fillId="11" borderId="11" xfId="4" applyNumberFormat="1" applyFont="1" applyFill="1" applyBorder="1" applyAlignment="1">
      <alignment horizontal="right" vertical="center"/>
    </xf>
    <xf numFmtId="0" fontId="12" fillId="8" borderId="11" xfId="4" applyFont="1" applyFill="1" applyBorder="1" applyAlignment="1">
      <alignment vertical="center" wrapText="1"/>
    </xf>
    <xf numFmtId="3" fontId="13" fillId="0" borderId="11" xfId="4" applyNumberFormat="1" applyFont="1" applyBorder="1" applyAlignment="1">
      <alignment horizontal="right" vertical="center"/>
    </xf>
    <xf numFmtId="0" fontId="14" fillId="9" borderId="0" xfId="4" applyFont="1" applyFill="1"/>
    <xf numFmtId="0" fontId="12" fillId="8" borderId="0" xfId="4" applyFont="1" applyFill="1" applyBorder="1" applyAlignment="1">
      <alignment vertical="center" wrapText="1"/>
    </xf>
    <xf numFmtId="3" fontId="13" fillId="0" borderId="0" xfId="4" applyNumberFormat="1" applyFont="1" applyBorder="1" applyAlignment="1">
      <alignment horizontal="right" vertical="center"/>
    </xf>
    <xf numFmtId="0" fontId="15" fillId="9" borderId="0" xfId="4" applyFont="1" applyFill="1"/>
    <xf numFmtId="0" fontId="16" fillId="2" borderId="11" xfId="4" applyFont="1" applyFill="1" applyBorder="1" applyAlignment="1">
      <alignment horizontal="center"/>
    </xf>
    <xf numFmtId="0" fontId="16" fillId="2" borderId="11" xfId="4" applyFont="1" applyFill="1" applyBorder="1"/>
    <xf numFmtId="0" fontId="15" fillId="9" borderId="0" xfId="4" applyFont="1" applyFill="1" applyAlignment="1"/>
    <xf numFmtId="0" fontId="15" fillId="9" borderId="0" xfId="4" applyFont="1" applyFill="1" applyAlignment="1">
      <alignment horizontal="center"/>
    </xf>
    <xf numFmtId="0" fontId="15" fillId="10" borderId="11" xfId="4" applyFont="1" applyFill="1" applyBorder="1" applyAlignment="1">
      <alignment horizontal="center" vertical="center" wrapText="1"/>
    </xf>
    <xf numFmtId="0" fontId="15" fillId="10" borderId="11" xfId="4" applyFont="1" applyFill="1" applyBorder="1" applyAlignment="1">
      <alignment vertical="center" wrapText="1"/>
    </xf>
    <xf numFmtId="0" fontId="15" fillId="0" borderId="11" xfId="4" applyFont="1" applyBorder="1" applyAlignment="1">
      <alignment vertical="center" wrapText="1"/>
    </xf>
    <xf numFmtId="0" fontId="15" fillId="6" borderId="11" xfId="4" quotePrefix="1" applyFont="1" applyFill="1" applyBorder="1" applyAlignment="1">
      <alignment horizontal="center" vertical="center" wrapText="1"/>
    </xf>
    <xf numFmtId="0" fontId="15" fillId="6" borderId="11" xfId="4" applyFont="1" applyFill="1" applyBorder="1" applyAlignment="1">
      <alignment horizontal="center" vertical="center" wrapText="1"/>
    </xf>
    <xf numFmtId="0" fontId="15" fillId="10" borderId="11" xfId="4" applyFont="1" applyFill="1" applyBorder="1" applyAlignment="1">
      <alignment vertical="center"/>
    </xf>
    <xf numFmtId="0" fontId="15" fillId="6" borderId="11" xfId="4" applyFont="1" applyFill="1" applyBorder="1" applyAlignment="1">
      <alignment vertical="center" wrapText="1"/>
    </xf>
    <xf numFmtId="0" fontId="17" fillId="13" borderId="11" xfId="4" applyFont="1" applyFill="1" applyBorder="1" applyAlignment="1">
      <alignment horizontal="center" vertical="center" wrapText="1"/>
    </xf>
    <xf numFmtId="0" fontId="15" fillId="13" borderId="11" xfId="4" applyFont="1" applyFill="1" applyBorder="1" applyAlignment="1">
      <alignment vertical="center" wrapText="1"/>
    </xf>
    <xf numFmtId="0" fontId="15" fillId="13" borderId="11" xfId="4" quotePrefix="1" applyFont="1" applyFill="1" applyBorder="1" applyAlignment="1">
      <alignment horizontal="center" vertical="center" wrapText="1"/>
    </xf>
    <xf numFmtId="0" fontId="15" fillId="13" borderId="11" xfId="4" applyFont="1" applyFill="1" applyBorder="1" applyAlignment="1">
      <alignment horizontal="center" vertical="center" wrapText="1"/>
    </xf>
    <xf numFmtId="0" fontId="15" fillId="0" borderId="11" xfId="4" applyFont="1" applyBorder="1" applyAlignment="1">
      <alignment horizontal="center" vertical="center" wrapText="1"/>
    </xf>
    <xf numFmtId="0" fontId="15" fillId="0" borderId="11" xfId="4" quotePrefix="1" applyFont="1" applyBorder="1" applyAlignment="1">
      <alignment horizontal="center" vertical="center" wrapText="1"/>
    </xf>
    <xf numFmtId="0" fontId="15" fillId="10" borderId="11" xfId="4" applyFont="1" applyFill="1" applyBorder="1" applyAlignment="1">
      <alignment horizontal="center" vertical="center"/>
    </xf>
    <xf numFmtId="0" fontId="17" fillId="12" borderId="11" xfId="4" applyFont="1" applyFill="1" applyBorder="1" applyAlignment="1">
      <alignment horizontal="center" vertical="center" wrapText="1"/>
    </xf>
    <xf numFmtId="0" fontId="15" fillId="12" borderId="11" xfId="4" applyFont="1" applyFill="1" applyBorder="1" applyAlignment="1">
      <alignment vertical="center" wrapText="1"/>
    </xf>
    <xf numFmtId="0" fontId="15" fillId="12" borderId="11" xfId="4" quotePrefix="1" applyFont="1" applyFill="1" applyBorder="1" applyAlignment="1">
      <alignment horizontal="center" vertical="center" wrapText="1"/>
    </xf>
    <xf numFmtId="0" fontId="15" fillId="12" borderId="11" xfId="4" applyFont="1" applyFill="1" applyBorder="1" applyAlignment="1">
      <alignment horizontal="center" vertical="center" wrapText="1"/>
    </xf>
    <xf numFmtId="0" fontId="15" fillId="15" borderId="11" xfId="4" applyFont="1" applyFill="1" applyBorder="1" applyAlignment="1">
      <alignment horizontal="center" vertical="center" wrapText="1"/>
    </xf>
    <xf numFmtId="0" fontId="15" fillId="15" borderId="11" xfId="4" applyFont="1" applyFill="1" applyBorder="1" applyAlignment="1">
      <alignment vertical="center" wrapText="1"/>
    </xf>
    <xf numFmtId="0" fontId="15" fillId="15" borderId="11" xfId="4" quotePrefix="1" applyFont="1" applyFill="1" applyBorder="1" applyAlignment="1">
      <alignment horizontal="center" vertical="center" wrapText="1"/>
    </xf>
    <xf numFmtId="0" fontId="15" fillId="10" borderId="11" xfId="4" quotePrefix="1" applyFont="1" applyFill="1" applyBorder="1" applyAlignment="1">
      <alignment horizontal="center" vertical="center" wrapText="1"/>
    </xf>
    <xf numFmtId="0" fontId="15" fillId="13" borderId="11" xfId="4" applyFont="1" applyFill="1" applyBorder="1" applyAlignment="1">
      <alignment horizontal="left" vertical="center" wrapText="1" indent="1"/>
    </xf>
    <xf numFmtId="0" fontId="16" fillId="14" borderId="11" xfId="4" applyFont="1" applyFill="1" applyBorder="1" applyAlignment="1">
      <alignment horizontal="center" vertical="center" wrapText="1"/>
    </xf>
    <xf numFmtId="0" fontId="16" fillId="14" borderId="11" xfId="4" applyFont="1" applyFill="1" applyBorder="1" applyAlignment="1">
      <alignment vertical="center" wrapText="1"/>
    </xf>
    <xf numFmtId="0" fontId="16" fillId="14" borderId="11" xfId="4" quotePrefix="1" applyFont="1" applyFill="1" applyBorder="1" applyAlignment="1">
      <alignment horizontal="center" vertical="center" wrapText="1"/>
    </xf>
    <xf numFmtId="9" fontId="15" fillId="6" borderId="11" xfId="4" applyNumberFormat="1" applyFont="1" applyFill="1" applyBorder="1" applyAlignment="1">
      <alignment horizontal="center" vertical="center"/>
    </xf>
    <xf numFmtId="9" fontId="15" fillId="15" borderId="11" xfId="4" quotePrefix="1" applyNumberFormat="1" applyFont="1" applyFill="1" applyBorder="1" applyAlignment="1">
      <alignment horizontal="center" vertical="center"/>
    </xf>
    <xf numFmtId="9" fontId="15" fillId="15" borderId="11" xfId="4" applyNumberFormat="1" applyFont="1" applyFill="1" applyBorder="1" applyAlignment="1">
      <alignment horizontal="center" vertical="center"/>
    </xf>
    <xf numFmtId="3" fontId="15" fillId="13" borderId="11" xfId="4" quotePrefix="1" applyNumberFormat="1" applyFont="1" applyFill="1" applyBorder="1" applyAlignment="1">
      <alignment horizontal="center" vertical="center"/>
    </xf>
    <xf numFmtId="3" fontId="17" fillId="13" borderId="11" xfId="4" applyNumberFormat="1" applyFont="1" applyFill="1" applyBorder="1" applyAlignment="1">
      <alignment horizontal="center" vertical="center"/>
    </xf>
    <xf numFmtId="0" fontId="15" fillId="6" borderId="11" xfId="4" applyFont="1" applyFill="1" applyBorder="1" applyAlignment="1">
      <alignment horizontal="left" vertical="center" wrapText="1" indent="1"/>
    </xf>
    <xf numFmtId="3" fontId="15" fillId="6" borderId="11" xfId="4" applyNumberFormat="1" applyFont="1" applyFill="1" applyBorder="1" applyAlignment="1">
      <alignment horizontal="center" vertical="center"/>
    </xf>
    <xf numFmtId="3" fontId="17" fillId="6" borderId="11" xfId="4" applyNumberFormat="1" applyFont="1" applyFill="1" applyBorder="1" applyAlignment="1">
      <alignment horizontal="center" vertical="center"/>
    </xf>
    <xf numFmtId="0" fontId="17" fillId="15" borderId="11" xfId="4" applyFont="1" applyFill="1" applyBorder="1" applyAlignment="1">
      <alignment horizontal="center" vertical="center" wrapText="1"/>
    </xf>
    <xf numFmtId="0" fontId="17" fillId="13" borderId="11" xfId="4" applyFont="1" applyFill="1" applyBorder="1" applyAlignment="1">
      <alignment horizontal="left" vertical="center" wrapText="1" indent="1"/>
    </xf>
    <xf numFmtId="0" fontId="15" fillId="0" borderId="11" xfId="4" quotePrefix="1" applyFont="1" applyBorder="1" applyAlignment="1">
      <alignment vertical="center" wrapText="1"/>
    </xf>
    <xf numFmtId="2" fontId="18" fillId="10" borderId="11" xfId="4" applyNumberFormat="1" applyFont="1" applyFill="1" applyBorder="1" applyAlignment="1">
      <alignment horizontal="center" vertical="center"/>
    </xf>
    <xf numFmtId="3" fontId="15" fillId="13" borderId="11" xfId="4" applyNumberFormat="1" applyFont="1" applyFill="1" applyBorder="1" applyAlignment="1">
      <alignment horizontal="center" vertical="center"/>
    </xf>
    <xf numFmtId="0" fontId="17" fillId="12" borderId="11" xfId="4" applyFont="1" applyFill="1" applyBorder="1" applyAlignment="1">
      <alignment horizontal="left" vertical="center" wrapText="1" indent="1"/>
    </xf>
    <xf numFmtId="3" fontId="15" fillId="12" borderId="11" xfId="4" quotePrefix="1" applyNumberFormat="1" applyFont="1" applyFill="1" applyBorder="1" applyAlignment="1">
      <alignment horizontal="center" vertical="center"/>
    </xf>
    <xf numFmtId="3" fontId="17" fillId="12" borderId="11" xfId="4" applyNumberFormat="1" applyFont="1" applyFill="1" applyBorder="1" applyAlignment="1">
      <alignment horizontal="center" vertical="center"/>
    </xf>
    <xf numFmtId="0" fontId="17" fillId="13" borderId="11" xfId="4" applyFont="1" applyFill="1" applyBorder="1" applyAlignment="1">
      <alignment vertical="center" wrapText="1"/>
    </xf>
    <xf numFmtId="0" fontId="17" fillId="12" borderId="11" xfId="4" applyFont="1" applyFill="1" applyBorder="1" applyAlignment="1">
      <alignment vertical="center" wrapText="1"/>
    </xf>
    <xf numFmtId="0" fontId="15" fillId="9" borderId="0" xfId="4" applyFont="1" applyFill="1" applyAlignment="1">
      <alignment wrapText="1"/>
    </xf>
    <xf numFmtId="0" fontId="16" fillId="2" borderId="11" xfId="4" applyFont="1" applyFill="1" applyBorder="1" applyAlignment="1">
      <alignment wrapText="1"/>
    </xf>
    <xf numFmtId="0" fontId="17" fillId="15" borderId="11" xfId="4" applyFont="1" applyFill="1" applyBorder="1" applyAlignment="1">
      <alignment vertical="center" wrapText="1"/>
    </xf>
    <xf numFmtId="0" fontId="15" fillId="13" borderId="11" xfId="4" applyFont="1" applyFill="1" applyBorder="1" applyAlignment="1">
      <alignment horizontal="left" vertical="center" wrapText="1"/>
    </xf>
    <xf numFmtId="0" fontId="15" fillId="6" borderId="11" xfId="4" applyFont="1" applyFill="1" applyBorder="1" applyAlignment="1">
      <alignment horizontal="left" vertical="center" wrapText="1"/>
    </xf>
    <xf numFmtId="0" fontId="17" fillId="13" borderId="11" xfId="4" applyFont="1" applyFill="1" applyBorder="1" applyAlignment="1">
      <alignment horizontal="left" vertical="center" wrapText="1"/>
    </xf>
    <xf numFmtId="0" fontId="17" fillId="12" borderId="11" xfId="4" applyFont="1" applyFill="1" applyBorder="1" applyAlignment="1">
      <alignment horizontal="left" vertical="center" wrapText="1"/>
    </xf>
    <xf numFmtId="0" fontId="1" fillId="9" borderId="0" xfId="4" applyFill="1" applyAlignment="1">
      <alignment wrapText="1"/>
    </xf>
    <xf numFmtId="0" fontId="20" fillId="2" borderId="0" xfId="0" applyFont="1" applyFill="1" applyProtection="1"/>
    <xf numFmtId="0" fontId="21" fillId="2" borderId="0" xfId="0" applyFont="1" applyFill="1" applyProtection="1"/>
    <xf numFmtId="17" fontId="21" fillId="2" borderId="0" xfId="0" applyNumberFormat="1" applyFont="1" applyFill="1" applyProtection="1"/>
    <xf numFmtId="0" fontId="2" fillId="3" borderId="0" xfId="0" applyFont="1" applyFill="1" applyProtection="1"/>
    <xf numFmtId="0" fontId="6" fillId="4" borderId="1" xfId="0" applyFont="1" applyFill="1" applyBorder="1" applyProtection="1"/>
    <xf numFmtId="169" fontId="5" fillId="4" borderId="2" xfId="1" applyNumberFormat="1" applyFont="1" applyFill="1" applyBorder="1" applyProtection="1"/>
    <xf numFmtId="0" fontId="2" fillId="4" borderId="3" xfId="0" applyFont="1" applyFill="1" applyBorder="1" applyProtection="1"/>
    <xf numFmtId="0" fontId="2" fillId="4" borderId="2" xfId="0" applyFont="1" applyFill="1" applyBorder="1" applyProtection="1"/>
    <xf numFmtId="17" fontId="2" fillId="4" borderId="2" xfId="0" applyNumberFormat="1" applyFont="1" applyFill="1" applyBorder="1" applyAlignment="1" applyProtection="1">
      <alignment horizontal="center"/>
    </xf>
    <xf numFmtId="0" fontId="22" fillId="3" borderId="0" xfId="0" applyFont="1" applyFill="1" applyProtection="1"/>
    <xf numFmtId="0" fontId="2" fillId="5" borderId="4" xfId="0" applyFont="1" applyFill="1" applyBorder="1" applyProtection="1"/>
    <xf numFmtId="164" fontId="6" fillId="5" borderId="6" xfId="1" applyNumberFormat="1" applyFont="1" applyFill="1" applyBorder="1" applyAlignment="1" applyProtection="1">
      <alignment horizontal="center"/>
    </xf>
    <xf numFmtId="0" fontId="2" fillId="5" borderId="6" xfId="0" applyFont="1" applyFill="1" applyBorder="1" applyProtection="1"/>
    <xf numFmtId="164" fontId="6" fillId="5" borderId="6" xfId="0" applyNumberFormat="1" applyFont="1" applyFill="1" applyBorder="1" applyAlignment="1" applyProtection="1">
      <alignment horizontal="center"/>
    </xf>
    <xf numFmtId="0" fontId="2" fillId="5" borderId="5" xfId="0" applyFont="1" applyFill="1" applyBorder="1" applyProtection="1"/>
    <xf numFmtId="0" fontId="2" fillId="5" borderId="9" xfId="0" applyFont="1" applyFill="1" applyBorder="1" applyProtection="1"/>
    <xf numFmtId="164" fontId="6" fillId="5" borderId="0" xfId="1" applyNumberFormat="1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left"/>
    </xf>
    <xf numFmtId="164" fontId="19" fillId="5" borderId="11" xfId="1" applyNumberFormat="1" applyFont="1" applyFill="1" applyBorder="1" applyProtection="1">
      <protection locked="0"/>
    </xf>
    <xf numFmtId="9" fontId="23" fillId="5" borderId="0" xfId="2" applyFont="1" applyFill="1" applyBorder="1" applyAlignment="1" applyProtection="1">
      <alignment horizontal="left"/>
    </xf>
    <xf numFmtId="164" fontId="2" fillId="5" borderId="0" xfId="1" applyNumberFormat="1" applyFont="1" applyFill="1" applyBorder="1" applyProtection="1"/>
    <xf numFmtId="0" fontId="2" fillId="5" borderId="10" xfId="0" applyFont="1" applyFill="1" applyBorder="1" applyProtection="1"/>
    <xf numFmtId="164" fontId="5" fillId="5" borderId="11" xfId="1" applyNumberFormat="1" applyFont="1" applyFill="1" applyBorder="1" applyProtection="1"/>
    <xf numFmtId="164" fontId="2" fillId="5" borderId="0" xfId="0" applyNumberFormat="1" applyFont="1" applyFill="1" applyBorder="1" applyProtection="1"/>
    <xf numFmtId="164" fontId="22" fillId="0" borderId="11" xfId="1" applyNumberFormat="1" applyFont="1" applyFill="1" applyBorder="1" applyProtection="1">
      <protection locked="0"/>
    </xf>
    <xf numFmtId="0" fontId="6" fillId="5" borderId="9" xfId="0" applyFont="1" applyFill="1" applyBorder="1" applyProtection="1"/>
    <xf numFmtId="0" fontId="6" fillId="5" borderId="9" xfId="0" applyFont="1" applyFill="1" applyBorder="1" applyAlignment="1" applyProtection="1">
      <alignment horizontal="left"/>
    </xf>
    <xf numFmtId="165" fontId="6" fillId="5" borderId="0" xfId="1" applyNumberFormat="1" applyFont="1" applyFill="1" applyBorder="1" applyProtection="1"/>
    <xf numFmtId="164" fontId="24" fillId="5" borderId="0" xfId="1" applyNumberFormat="1" applyFont="1" applyFill="1" applyBorder="1" applyProtection="1"/>
    <xf numFmtId="0" fontId="2" fillId="5" borderId="7" xfId="0" applyFont="1" applyFill="1" applyBorder="1" applyProtection="1"/>
    <xf numFmtId="0" fontId="2" fillId="5" borderId="7" xfId="0" applyFont="1" applyFill="1" applyBorder="1" applyAlignment="1" applyProtection="1">
      <alignment horizontal="left"/>
    </xf>
    <xf numFmtId="9" fontId="2" fillId="5" borderId="12" xfId="2" applyFont="1" applyFill="1" applyBorder="1"/>
    <xf numFmtId="0" fontId="2" fillId="5" borderId="8" xfId="0" applyFont="1" applyFill="1" applyBorder="1" applyProtection="1"/>
    <xf numFmtId="164" fontId="2" fillId="5" borderId="6" xfId="1" applyNumberFormat="1" applyFont="1" applyFill="1" applyBorder="1" applyProtection="1"/>
    <xf numFmtId="164" fontId="5" fillId="6" borderId="11" xfId="1" applyNumberFormat="1" applyFont="1" applyFill="1" applyBorder="1" applyProtection="1">
      <protection locked="0"/>
    </xf>
    <xf numFmtId="164" fontId="5" fillId="5" borderId="11" xfId="1" applyNumberFormat="1" applyFont="1" applyFill="1" applyBorder="1" applyProtection="1">
      <protection locked="0"/>
    </xf>
    <xf numFmtId="2" fontId="25" fillId="6" borderId="11" xfId="0" applyNumberFormat="1" applyFont="1" applyFill="1" applyBorder="1" applyProtection="1">
      <protection locked="0"/>
    </xf>
    <xf numFmtId="43" fontId="2" fillId="5" borderId="0" xfId="0" applyNumberFormat="1" applyFont="1" applyFill="1" applyBorder="1" applyProtection="1"/>
    <xf numFmtId="166" fontId="5" fillId="5" borderId="11" xfId="0" applyNumberFormat="1" applyFont="1" applyFill="1" applyBorder="1" applyProtection="1">
      <protection locked="0"/>
    </xf>
    <xf numFmtId="9" fontId="23" fillId="5" borderId="0" xfId="2" applyNumberFormat="1" applyFont="1" applyFill="1" applyBorder="1" applyAlignment="1" applyProtection="1">
      <alignment horizontal="left"/>
    </xf>
    <xf numFmtId="164" fontId="6" fillId="5" borderId="0" xfId="0" applyNumberFormat="1" applyFont="1" applyFill="1" applyBorder="1" applyProtection="1"/>
    <xf numFmtId="9" fontId="23" fillId="5" borderId="10" xfId="2" applyNumberFormat="1" applyFont="1" applyFill="1" applyBorder="1" applyAlignment="1" applyProtection="1">
      <alignment horizontal="left"/>
    </xf>
    <xf numFmtId="1" fontId="22" fillId="5" borderId="11" xfId="0" applyNumberFormat="1" applyFont="1" applyFill="1" applyBorder="1" applyProtection="1">
      <protection locked="0"/>
    </xf>
    <xf numFmtId="0" fontId="2" fillId="5" borderId="0" xfId="0" applyFont="1" applyFill="1" applyBorder="1" applyProtection="1"/>
    <xf numFmtId="164" fontId="6" fillId="5" borderId="0" xfId="1" applyNumberFormat="1" applyFont="1" applyFill="1" applyBorder="1" applyProtection="1"/>
    <xf numFmtId="167" fontId="22" fillId="5" borderId="0" xfId="0" applyNumberFormat="1" applyFont="1" applyFill="1" applyBorder="1" applyProtection="1"/>
    <xf numFmtId="164" fontId="5" fillId="0" borderId="11" xfId="1" applyNumberFormat="1" applyFont="1" applyFill="1" applyBorder="1" applyProtection="1">
      <protection locked="0"/>
    </xf>
    <xf numFmtId="168" fontId="22" fillId="0" borderId="11" xfId="1" applyNumberFormat="1" applyFont="1" applyFill="1" applyBorder="1" applyProtection="1">
      <protection locked="0"/>
    </xf>
    <xf numFmtId="164" fontId="6" fillId="5" borderId="0" xfId="1" applyNumberFormat="1" applyFont="1" applyFill="1" applyBorder="1" applyAlignment="1" applyProtection="1">
      <alignment horizontal="left" indent="1"/>
    </xf>
    <xf numFmtId="3" fontId="2" fillId="3" borderId="0" xfId="0" applyNumberFormat="1" applyFont="1" applyFill="1" applyProtection="1"/>
    <xf numFmtId="169" fontId="2" fillId="5" borderId="0" xfId="1" applyNumberFormat="1" applyFont="1" applyFill="1" applyBorder="1" applyProtection="1"/>
    <xf numFmtId="166" fontId="22" fillId="5" borderId="11" xfId="0" applyNumberFormat="1" applyFont="1" applyFill="1" applyBorder="1" applyAlignment="1" applyProtection="1">
      <alignment horizontal="center"/>
      <protection locked="0"/>
    </xf>
    <xf numFmtId="9" fontId="5" fillId="5" borderId="11" xfId="0" applyNumberFormat="1" applyFont="1" applyFill="1" applyBorder="1" applyProtection="1">
      <protection locked="0"/>
    </xf>
    <xf numFmtId="0" fontId="6" fillId="5" borderId="7" xfId="0" applyFont="1" applyFill="1" applyBorder="1" applyProtection="1"/>
    <xf numFmtId="0" fontId="6" fillId="0" borderId="7" xfId="0" applyFont="1" applyFill="1" applyBorder="1" applyProtection="1"/>
    <xf numFmtId="164" fontId="6" fillId="5" borderId="12" xfId="1" applyNumberFormat="1" applyFont="1" applyFill="1" applyBorder="1" applyProtection="1"/>
    <xf numFmtId="9" fontId="23" fillId="5" borderId="12" xfId="2" applyNumberFormat="1" applyFont="1" applyFill="1" applyBorder="1" applyAlignment="1" applyProtection="1">
      <alignment horizontal="left"/>
    </xf>
    <xf numFmtId="0" fontId="6" fillId="5" borderId="7" xfId="0" applyFont="1" applyFill="1" applyBorder="1" applyAlignment="1" applyProtection="1">
      <alignment horizontal="left"/>
    </xf>
    <xf numFmtId="164" fontId="6" fillId="5" borderId="12" xfId="0" applyNumberFormat="1" applyFont="1" applyFill="1" applyBorder="1" applyProtection="1"/>
    <xf numFmtId="9" fontId="23" fillId="5" borderId="8" xfId="2" applyNumberFormat="1" applyFont="1" applyFill="1" applyBorder="1" applyAlignment="1" applyProtection="1">
      <alignment horizontal="left"/>
    </xf>
    <xf numFmtId="9" fontId="23" fillId="5" borderId="5" xfId="2" applyNumberFormat="1" applyFont="1" applyFill="1" applyBorder="1" applyAlignment="1" applyProtection="1">
      <alignment horizontal="left"/>
    </xf>
    <xf numFmtId="9" fontId="2" fillId="5" borderId="0" xfId="2" applyFont="1" applyFill="1" applyBorder="1"/>
    <xf numFmtId="9" fontId="2" fillId="5" borderId="0" xfId="2" applyFont="1" applyFill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168" fontId="5" fillId="5" borderId="11" xfId="1" applyNumberFormat="1" applyFont="1" applyFill="1" applyBorder="1" applyProtection="1"/>
    <xf numFmtId="164" fontId="22" fillId="5" borderId="11" xfId="1" applyNumberFormat="1" applyFont="1" applyFill="1" applyBorder="1" applyProtection="1">
      <protection locked="0"/>
    </xf>
    <xf numFmtId="164" fontId="2" fillId="6" borderId="11" xfId="1" applyNumberFormat="1" applyFont="1" applyFill="1" applyBorder="1" applyProtection="1">
      <protection locked="0"/>
    </xf>
    <xf numFmtId="0" fontId="2" fillId="5" borderId="12" xfId="0" applyFont="1" applyFill="1" applyBorder="1" applyProtection="1"/>
    <xf numFmtId="9" fontId="6" fillId="5" borderId="12" xfId="2" applyNumberFormat="1" applyFont="1" applyFill="1" applyBorder="1"/>
    <xf numFmtId="0" fontId="23" fillId="5" borderId="7" xfId="0" applyFont="1" applyFill="1" applyBorder="1" applyProtection="1"/>
    <xf numFmtId="0" fontId="23" fillId="5" borderId="1" xfId="0" applyFont="1" applyFill="1" applyBorder="1" applyProtection="1"/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11">
    <dxf>
      <font>
        <color theme="0"/>
      </font>
      <fill>
        <patternFill>
          <bgColor rgb="FFCC3399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lor theme="0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C3399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lor theme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8000"/>
      <color rgb="FFFF00FF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306916</xdr:colOff>
      <xdr:row>14</xdr:row>
      <xdr:rowOff>0</xdr:rowOff>
    </xdr:from>
    <xdr:to>
      <xdr:col>24</xdr:col>
      <xdr:colOff>379941</xdr:colOff>
      <xdr:row>23</xdr:row>
      <xdr:rowOff>161925</xdr:rowOff>
    </xdr:to>
    <xdr:sp macro="" textlink="">
      <xdr:nvSpPr>
        <xdr:cNvPr id="2" name="AutoShape 2" descr="data:image/jpeg;base64,/9j/4AAQSkZJRgABAQAAAQABAAD/2wCEAAkGBwgHBgkIBwgKCgkLDRYPDQwMDRsUFRAWIB0iIiAdHx8kKDQsJCYxJx8fLT0tMTU3Ojo6Iys/RD84QzQ5OjcBCgoKDQwNGg8PGjclHyU3Nzc3Nzc3Nzc3Nzc3Nzc3Nzc3Nzc3Nzc3Nzc3Nzc3Nzc3Nzc3Nzc3Nzc3Nzc3Nzc3N//AABEIAKIAyAMBEQACEQEDEQH/xAAcAAACAgMBAQAAAAAAAAAAAAAFBgMEAQIHAAj/xAA6EAACAQMDAQcCAgkEAgMAAAABAgMABBEFEiExBhMiQVFhcRSBMpEVIzNCUqGxwfBi0eHxB3IkNEP/xAAbAQACAwEBAQAAAAAAAAAAAAADBAECBQAGB//EADQRAAICAQMCBAMHBQADAQAAAAECAAMRBBIhMUEFEyJRYXHwFCMygZGhsULB0eHxFTM0Bv/aAAwDAQACEQMRAD8ANxpXnyYrLUacVQmdJ0SozOkyriunTcLXTpttqJ2ZkCozOm4FdmdMgZ6V2ZM2AqMyZIIn2b9jbfXHFTzO2nrM4/lUZnTwFdmRNttRmTM4rszpsKnM6bgVOZ0ztrszpkLXTpldynINdnE6WknSTatwgYDofNadp1ZXh+RC12snSVrqy7osE8VvJ0/0H3pw4I3LyJq06gOAe4gYKbWfuGPGcxMfI+lCHoPwmlkWLuH5zeR8+L8Jzwf4TUvxzKqMcSNyGUnGCT4wP3T61Gc9ZYcHH6QdElZxnkJZjSqzpOABXTpkYqJ02FdmdNhUZnTcCokibKMngVGZOIDv+1ul2MssEnetMhxtC8H71y7mXIE9FR/+cvsUOzAKfjBt52/ZoRDpNnELlzgPId/8ulXUv3GB+8K/hFNByWzBl1f68L6JpNZk+oA8aIgCIT1AFdZbUex+eYEJjoOJYue0WtWfij1Q3CDkqyLz80Ntli7ATj+8JUlbt6lkum9ty90kdyV2v13jbtqo09obhuI/d4Zo7q/TwY4xarYySrHHcK0jYyq84z7iiuu04HPynn7PCtQql8cCX1XPlQ5m7TM4qcyJsBUzpsK6dNsVM6exXTp7B8utdOkkMzRH1HmD50Wq56zkSQSDkTTUbGK9hLxDDdWHn9q00dLxx19pqaTWFTgwF4iSkv7RRhh/EvrVBkHBmxgdR0niShDKcsBx/rX0qpGJ2M8H6MqR8UiZ46SmRUGWIA9TVScdZKqWOBNkbeOCvyDVVYN0lmRlI3cTbNWlJuAfaqkSZsKicJkyIv45EU+jMBVHdVGSYzVpbrR6FgbtHqEsduIbSaIO4JPi5YeimoCmw8dJ6Lwbw8ITZevMR9TsIJvpzJfBnKkGLHiU58z5gdKcpdvwhZp6nUuxIWb22n21lAk+4gyt3cKsDuc5HOK6yqx+P2iTZPWOOnaXBaac15exBmkbu1Vhkj1P51lWb0X88Yi+zdZtEpwaFZXVzO810VQSbVjYYHvmiVWAgLnmXNbrg4hxtU7O6VEbYx2jLtCuNoJx6jNahbYMgg5lV0OosORxBT2cFvjV9EuRCkZJuogM5T29DihBfT7/AC4jq+aWFFvIPT/sp6rqt9qF9DPpbOVaPA7t8eLz8OeKr5IuYlOMRqmqnSpsvXvD2hdrbW5iWLUg9vcLw7MPCT/agOQpw0xdZ4PuYvQcj2jJDNbz8wTxyA9CrA5qAw95iWaS6v8AEpku3HWrxeZArp0yBUyJ7FdOmCK6dN4mZCNpxipVipyJMr6raLdJ38XE0fiwo5b/AD0rTqtW8Ybhpp6PWlPS3IMXDqAnQG1tW/abWeTjYfjrVieMTaWv3bMwg4rPM8bIb8RvbNFLN3Xe+BWxnk9KqqeYdnvHfD1bz1ZR+Hk/KI8WrajpVx32GMJOwlwCPUg46GrnThSds9U2mo1teG6/vHPRdZtdUUBHCS45TOc/FBB7Geb13hd2kOeq/XWG4bdm3MSAqDLMf3fmpCcFuwiFVbWNtWLd3r87X7W+nxxvECT3rDnA/pUacm3IxNn/AMalSgseY2R9k7OXSUjvJZTcOBK9wG8e4jJGfSnHqWleDg4zn+ZRdS6tgdPaI+qT2tvfzW1lLKtvBy42bixH7xODjpSCE3KWA4PT/M9Tp1fygzgZP8e3XmU4bbTtU1O0tmaUQtHvcAYM2M/veY56Vq6SxdoRli+oosXdYMf4jDpKNfTyajLpgFnZZjgDZyExxhcdR65/rQ9ZY61iwLz/AGitu1PuA3J/mE7XVdPeK1mlvdwEwY8cbuRtIxWL5hS0NyeOc8wF1Fm5lC4kEOl2OoJf2cjItxcB2iuE6pznp+X2pnSWVP6HHOOvyMNZfdTstToMAiLmmdiLiyEt5fd277iRgiQbemfk1vJVtqyO8s+s82zgkTPaeWLR2a20worb13qy4SXKA5+fFSFq7LCo7RzSE6gBrOf7cy1/46SC9vLlbu2jQrGMFlDA56n2+aWDAWjJ6/D+YPxgslahYaumsdIT6h1gkjLt+H94+1Rqgz1A14+vaKKWt9PKmLmo6lZ6oGl0+E2t0pypjbGT8VnpVaG9eCJo16e6kctuEP6V2gv47EC+sJZ5AuVkiPDD39KZKug4GRM3UeFae6zcr7c9QYyWF3Hew95GCPVT1WpVg0wNXpW0747S1VorPYqZ09ionTGKmdMr4TmunQVqen4ke9thlX/bxev+oe9PV3bzz1/maej1mz0P07fD/UEg+uMDk5pVjgZMyEUuwUQT2m1Gwh0xgZBLLkMoU47sg53H3FBFpZwEnpfCfC767fNs4AiP+mfqOyktg9nHia8M31LEJg54I9fMela4V+F7R4ugv3gwZdG40y/aPJHmoDcEUJqw45mtp9RuUbuYZTtjqSaeba4vGEOMJk4Ofc+dAs0/m4X2grKtHS3mlQMw1pmu2mrWMlpMIIZnwveooUPjHhP+9cXao7WXiLXaNbPvaDuEe9D7Q/XaE9l449Vtcwssgwcr0b4I5q2stV6hWPxHoZg/ZttuT+GI2sQ6bbPbXV7dXMF1M7mW3ZGAQ5wwyOSOuD58UStK6lAXkzertssygA2jp8f8SC+u9H0FhDYXMV0s3MfcSHMPTPXyOPWusHJKc/qISktdhX9Pz7yvPr0lw0Fvpc12JYFDBCSFkz1A9+vNCGm84AnqYvqHFLsLFz8YPEer6gCsuyARu36otxGQeSa40VUHBOfjDUWm1dwTrDUWtS2VvDDLf5EXLjbnI8x5cGkzSrnI/KNHRbgTjB94Wsu12l29jcRQlvp1Jk2Snc0jE5wD5cnPTypimzVg7WbAHb/sSPhT5Vifz9oG1zUdOvNFmubU95cbssrMAwGep9cZ4pkvvOTwYerTPp2AbpF/T9fvrC1ax02Nf/krsJYefzxUDT7juJ4iutsrcrjqJc0e4nuGt7OdnR42LqzDcTz/AL/1od58kZI4hrmD1be5jPddoLae57i+tVkGeFADOp9+PilFsu3eYDn4HpF6gyD0nE1uO0Z0Nms5IGke4jLtvXYShyB4QcZ4NNHLV5KjJ6/X+oTYmoOd2CvT66yfQ9aNr3V7DYCKyLbQEzucqMMxPoP60K5CfUB+nwnW0LqazW7nd8f2nRLeVLiBJozlJF3KfaghgwyJ462tqnKN1EkAqYOZ8q6dPYrp0xipnTI8PSunQB2i1Ow7MWEkyWgvJY9olycBQemfn0rXdqqz5aDJ7x7R+HG3DOcDtOXaVbafqXaTdI7Gyw0skR5y37q/0pKslK8kc9p6/WWvXUFBzIO0dtqJ1M6hMkauVLW9pgBYox0JHmM+XvWlSmyrJ6955xzmzH6QdrVjfwPE+qwLBLLGHXaQd3vx0pZ6jS2Jr6a0eX8oOksJpYHnZ1MSt4mY+tXU45ELYVcbTDOgaShsWuBdxhQ23ukByvvjzFB1PqXPUwOmsOmbaIbaRlNqs9052jxOgyYVzjPx7UgEB47TSdUtQ2KvP8wprPZ3vNOQXl8JJ4t0kZzlJFPTaevOOQaaqCV9P+zNFpc+kYnNtQuLa4lTfp720ofDyQdGHlhDTynPOZVyVOOSYU0/Un0ZVm7ibBAKJOvhPwwNKsgduMTSW8NXsYESe41qb6WS6WILbSN4F6gnqefX1qvl7iEML5qCsuO31/HSL13qffB96qrcDIGPv700tI4xELNYSDzIwJkQYLrxu8akZHtnqKsQMyiXORgGZuDOtosggbxPxIBwOahFUt1gtXqbUQASd3Ec6THvNyr+HAOeODUAFeMSlbK2W7Qrpmuosc89x/8AYEYSL1J9SfTn86Wvp3jaecnMImC24dIM/SExuXljlbvM8FWwfuaIKlC4g3v5wJbtEa8kj7+Uly+N7nrn1PU1R2weJWliLBt7w3fW8m+C0iuPFGe57tRkN1yd2cYOfSlwQASZsb1pQM3A6zrnZzNvpNnbyMC0cQViOmaXxPC6q0W3s47mGBzXQEzXTp6unT1TOnq6dOIdp+0N9eNdQanbNEzDIHeHGATxjzptV3Nvzk5nvXprppIq7D9ZJ2A7L3vaG3Mo1D9Hw7+Wh8TSKPLHrn1/KtF6qWG15506u7lj0jhc9h1tb6f9ZA8MqHEtzFvYKPI8+v8AXpUAitSuduDmBVt5BihqcS3+sOiKkkdrE+4HOHYnoPQ5NLi0MxJ/L4zdvU01L7mbWbi71J4rq6hs0tkKs8KgBtoHh5GD+XNW8weYQ7cRANhcqMxy7Odj9Nswmt3kUsZMfeC2Y4UcdWH9unPSqsyZBxiCs1NhzUpz8YrXV3dSx3Dfo+ztYGZgd8rB1Geo48I9qz3WotjvPRUgrtLE8CBb2+1K4tY7HTla7tkiVjIOdobnBz0IOR9qcNCI2SeImtoY9OcmVLLRrm5jZJjtvN36gSSZwoXODjPGP54onm1EECWVLFPmkcD+8rre3Omoyd4G58ShgwPyDxQwu45E0vMUr94uZMmsQSRukum2LhxzuhwR0/DjoePKu2vnOYN6a7ANkqSW+lSLs+n7vPV1YsR+ZFXFz5kHw3Tsvq5MtXOpa5b2O2G+W4t44du9YtskaDoDjr1HPpV1ep26YMzrKNTpzkkFZp2eWTVFMKTKJUXhSM8Y6fFDtBVsw9dyMmDzItbtbmx7y4eAvkqJd/WMYwuPVenNErs3Hy369vjFNXR5S+bUMr3+EXZHJmwhZmfyXzpgLxMtrTu47xi0zQJSi3NwwVBgmNOXIz0wOlJ3Xdlmjp9A7MGsMOW9zbafZzRwWSpKcF3mYO5UE5PTjHtS7739I6TTr0lNT7yZNaX+n2Nwk1jbRTSDxGWXLEn+mKW+8yC3btGG0KahMWNwY+dku0Tatfm3lsdsZGO9jGAG+3lRawC6hh14mB4l4dVSuFjaxWKcQlv1hGcUO8CmwVN1mAdOxXevSSA8nH9ar3xAMpU8zNdInqmdMV06cjNzFdXl9ZaugLxsQQSBuO4gjnj0qSrLznn+8+hqoNaGroR8+JF2dnuOzdyz2dtLNaqjyAI+QCMZGOnnTNbG0b/6hMrXULWdo4BheLt9e61JHFp+lBFIxc3PdDOM48PPAB9aO1jjJOBj26xXT6WtWG4/lNLW703S9cmj1KGZu8k8Q6Jt8zn5OaHTXXZ68Z/OMa2xmRQJP9Toc294JGlhs2Bjifhx6H3HGM8dKM256wAuew/zEBvU5Y4zBXaDtnd6jbDSbaTe802XaI+FhkgD29T8UNksClX6DvDaVKxYG7wZc286WZtl2zzMjBtpwI8DnB9OPWla8M3Hbmekz6M2cSW4Uw2AsLGWOMxd3E7btm4BBuP5nr80y3LENAUIFVSR2k66GqBLaO7bnakzp4S2QCwLHyxnj1qGtrR9p4A/SVs1DsM4+X13lrVNFsre1/VwwTQnlDbpukUHPmRz55+Ku1g/pII+EBTazHD5B+PSJ1/o7OFbSFlmHCtuX8TY5IHkKuHrMJ9/kk4ErRafqdvOhaPuXzlWkYLUFkPEJufkGHrGEvdTS3U5ubiVMLDEpcuQMfixjyquExgcmQLHCgdBFjVLO+0C6hvGjltd7boXU8+uOOhx5U0iF6wD7TMturqfJPf2hd+1s95aCO4top3YbDKy549B/mKXegnOTNCq6nII79vf/Up6Zpgt9Ta5iVEVhhYmbG0dWI9sA/nU/aCa9veLnw5atT5i/hxn5S7Dq9zpu57ZY0Z2IkbaCJAfXFC2HfkmPqUsQZE9v+t1ATWpaYiDMzDgJyc5J+1QcqnMG1QZxt6wjZ6K08ErxyRI0Z8abiw9sHp0pdrFz6ozvenAYdZt+iZEP6vU4reXplZykifG3z+9Slm31CTaDchRkOD8Iamk7QvZx2xuLi8VOO857xx/qYf90At5z5YRSmnS089/jCnY3VYobyOC2uLgxSErNBcHc8L+X2z5/mK69FQhlGMxPxTTtfSS6jcOhHcToY5Jrp5Aj3ma6RMGpkRB/wDIegG3vv05ZRL9OQDdon4twYEN9+h+K1dfp8DeonpfBfEgR5Dnnt8vaCLPUI5dSEVrDIbW3UqHxgg+Z61kWG0AMh6dPlN27TK1WbPxH6xDM1nMbJ7axCoLggNHAg6eufMV1eoYkV54PXHSZtXlJZvI/D7yuVfSZLa0vb7fdTnawVfDgeZPlipp2liingdfbmc7LeS6LxFjVuz81zeztZ3Uu9rli9zGmyLuyTnDEZOR5c/NPDVLWPgIoaHswAMGb3sHZ+xMM1lZCSeHKNidhv8Acr6+/nmhtqHsTb79ZrUeHFLPMYke31mVrfUC008t4m1Ad2eQZVP7gX38z5CprQJhz9f6jVymwipOB/HxmlvtuNThZkaXB7+QLxlichefKrqcHfiTYfQVHyjNbm3sYZtR1chGXLLGRkKT7evNdVSMGx+sRfdYQlfT67ynqfau3iijubWFJw4yrRzDIOMeMAZDYohCg528waIoJQnp9cRU1TtXc3oijtLY23d5/WZ5B5/D6dSM0XYuzBlBb96Tg/n/AIi5Lf3LXIE8hkycZcBiPz/wUautMdInqtRbn0mFljFnppubi5iF2rYjj2uufYY48854qStZHEpTqrgQD/Mli1Jb+wew1dZLgA5SXO54z689fTFLhfKJKTUK13ph+Jrc9nn+i76znMYij3tG6lSQODn0PmKJ5gxlhAvpmVgtbf7lfUrafS3jsJlZ5pYwipG2d7FiOPyx9q7y8tn2lzqVSkgnOePzj2+n6LYabbZhiknWMK6SDwqQOfnJP86zXuyd1ecmM0JafS/AHeD7y/WGAtJGlpD0igVfxH4HRaomnJfLHmXOo2+mvn4wfda3bxSRy2NxIZDHiXcvV8c4z5fajNp+ZWvUWY229JNp2pzyI0hjSe3Gd4ZQeT1I9/eoKMBtjodGHXB/P9JLb3zvKGuLmVgThSGPHtigMmDiNlEKehRDcksU1za3tvBLLcRgBpUyrgj+IjrVWZm9KzPFJUMjnAPbtGzQu0ckriC8t51UkkTSY4+fb3qCrgfhnn/EPCVUGyphn2EavvmunmjM1M6JX/l3Wo9N7PtZRHNzcsF/9R1z88Vu6qzewr/Wa3hGkIY3noJyXTddsiIhM4t5go7ySQlhK32pC/Sv/QMiej0viSdLW5jxp/ae30+KADUN0bKWDhN27268VlHTuWPBEPbpk1HqwP1+syDUdYtLu4+r72QsBtGDtBz/ADrlrdfTDU6Mou04xBmq9q91slvIv6uMeEEjr60zXpnfGTJ8qjTEuTzE+e/mup8rlpGby4rSWkKvMzrvFA7itOT+0tWFxeNLAjB+76NJMCQBnkgmosRME94MX2ghV/OMdtqaaF39xAEkyCkbMuSWyMsc+gBx5UFQ7IM8ZjJxaMHgdev7SDs32jY65Nc3U+2BYtmHH6vaTyCOnJ556mr31MUAU8xLUXK529ZjtFo1ncahHJpssFrZ3J6If2T+YA/eHn5VOnu3L6+oiNrWA5BizrOk3OmO2+VJ4weHjJ5+R5U0jIxws5rmC5MdtM/8dLdaPDOb6L6ruRIVRtxBPOMferh13bRBF3I6Qdb9jwzrLePI+5cozNlXbONg8wR0+x9KKpTEn7M7N1jFa6Jb6bZmZ7WN5O8A3qR3kZAIOB5Dgn3oRwF6TSrAdwA3+IGvNWNvYG2mtIlkm2mY5ALruzuPHXyAPkKVyWUCOlQLCQcgdPhJNJe21XV2vpYlafkxO3jEQwfDkjHqenrQXZmbbnA9veGOmRahbwT+8IXcy3Vx3kQWXpFFGEHUnggdBXAZJIlWGF2Nx3Mr6n2bs9OcfpW83Skd5sD7nwegA+3WiMppOG4/mCqZtQv3Y46STTOzh1DSpZ9PtVhDMwBb99eMqGP+3r16VG87PaCvZKbMMc/KCu00KabrRt7GB7basYXa45OBklhVn2vgjgYl9NcRXknMpy6pZtc7GtzC48LGNuGHoc0uK329YxTeQ3JzCGnyXoYPpjSTR7gFaPOQfIMPKhmgk8R5r6WXFuI2m6u7DTIZ7uRXnlcgcZGB1H5kUNy9aBlbn6zM0V1XXMqDAAjT2S1b9JWHdzH/AORBgNxjcD0P+elBU56zy/iulFF2V6GHhVhMucG7a6hdalrMsl/ORkMkMZHCnow9iOPnNbCMWBYnJnrAi10rXWML/MQtQfvpAAoUINvvTNeVGTMq5fN49pWEs0IwkrAdcA1fajckSnm6igYRziSC+uinilJA8/Oq+TWO0KPEdUV/FIHmkk/as7f+1XCqOkUsuts/9hJhHRXdLyN1JLIwwPX2oOoxtM0PDAvngzorXV1LtgDXYh2jwQEHB9MEj+XqayNPRW3OORPRWIqP2595Vl0221W/srC0ZlkypeKaLwhc4IIHn58+uKdD7ev5RDWkqu0frDb6Bb6FLc21hbpcQPC8hlcZbGPEF4wD5ewzQUuFjjf0mSQwXjrEZtLv57qCA7IrB59xAccYB9PbP505lF3e4g28xiPaUtRLy6nNZLuNusnG87iB1xk9ahANofHMYXczbO0PWGipG1vO0lx3DyBZMHG3J4zz5iofbjdiP0Lj0iOdhFbaXbyLJdGeYOwigjJfryvHuT15HrVVtRB6Tkxhq7bSOMLxk/zKuq62bGylhDI14pB3p+Fc+Rz5g5+/NVa47SueYevTK7hsYT27zm+q3TzTP3zMzM3iOeWPvVq1wMwWrsUnb2hvR7p2s/pbWHcQu0YGWVeWIB9+TQLAxJMdQolQ29pe0K8ljvkWFI5JJ1aOIP8Ahy2ACf51KHy+kHZtZPV0HPHXiNMuiQ3EUrXl673vWRXYFJD/AAq3PP8AKl2tqVyHPT64i66thgInp7e4+JjF2Q7PTpbpuvM2gbMkLLwfbGcf1q6hHO5W9I+PH6TN12rUMfT6uxg/tj2Z0W4u2nOqNb3Kg7Is7ucDjHoMcDPmaXbVNWoXqP3/AMQOla5u3XvOOX9tPb3Mtuy7pe8wAnNaaMrAMDxiOZZDgy/2e1270K7e4tXO10Mc0RbAZT5fPvUHPbiMGtXUZ/5Ckvae9vx3Tsq268JAowqj2Hr7+dKW1ZA+Ee05RfVjnue5h7sNqsydoLVVJ7uTMT/BH+9KugUZmd4xULqC47TsAqJ42cF7UT2d9q93cDO0kuuCdoywzuz7Z6Vo12DezKOCZ7UUOmnVH6gc/l7RH1FYVnY267Uz4c+Y55rQU5mOyhGlFuaIIrZkmZUBSDgnjp61x5gx6TmYlm38D+lQFxOst38CXtIuTaXiyBQ2QRgjPNC1FfmJiP8Ah9gptDGdHtWsf0VbmbvJDcxd47hmBikxj44Oayb1avBqm/5j25bpAovdR0a8N4dRkeJMh+8dtzjHAA8zg5xTaYtTA4Mz9aCPUw4hbRe113e6htj04rbxFm7xtzONwxtz5ZBJxQ7NL5SHHWZy2KxGekpajY65LfyyNZmTRpZi0Yt8NsBHtzmr1vUtfX1TiHazb2kOgaVcssl1ZzFMSv3TXEauzKM46jg9BTBOVyDiHqXBwy5jhpVtG0M1peDazkNLM2COOn3yKRfVIn3bd5peWVxYvOOglfWL/TtOMjWsUUjbcKdn7M/xA9c9f+qIGrUegfXwjSLdZgWEgfXURVPaG7a9YvtLOpRXCjKA9cdAfvXGvzOWnWOtfpWBdQhYFZJPExxjaoA2+R4/2o6jAxM/UK1rZzL2hFxumjdYZICrbvXnjPxVGAPeP1Pn0kZzCdvbyPe3EVkUnWBy3QAYPO74qowy5kNjgHiG9MnvRbFHjt08ZzHMR4245AwRj5NZN4rJ6/oJYUBDnBnVNOyNCtpFmkXbwe6w2ecc5FXSlaNKX3Hr2nmb/wD6WXH6wbrNolxHPc3sKrIo4fILPgcAY6c0g1rOSbDzGNO+GCV8/CcN16S7tdQkdXZZnA3nBBHpyev24r0OlCtWB2j+oyDkSKS2eZnke6XuYwQJJUCFiAMrtBPPP/NMNjtB1WFTziVbc/rVZTx50J+nMfrPPEKaXePaapbyoxUo4YY+1LWpmswgTzFZPfifQtrcLcQxyx8q6hh9xmkx0ngbF2OVPacS1XYlgjr3sEi7lYd0CrEcZzx1+abXaGAxPcU2HUV7h0MS9UwIIDLKslzK24gEHYg4AJ9TWpWgA4mNqLcvtkE0Maqdq/i8z5Vwc5gWAxzKMZKSDJLDOdo+P+aOeRxEujSaO1WWMOQ4Bbjj+9DL7TgQ6Uhxu7S39OLe1efdhgcIM9P+aEX3Ntj60+XWXz0hzsbJdX9xHHHcBSkxyjv0BHUA9eaX1VAPAjnh+pNtbbu0fO03Z61vLKNYn3xxeI7EABz13cjnzpam41thgcCEwblNbjrEf9GjT5ZHhlk7ogqFSTqfXrz50ZtRv4H0Iq3hzVnj2hfRNV1QRCCxiCAY3XO7BUZ5wPPj1pd0rU73MuKWxiMdqILK374TSTyPlNgyQw/t60JtUScVA5Mbp07k7X6StPcd4jNdhooY+RGvHHWgJWA+H6zRUBFzX1PeJGtamsksjnwxbjtXoP8AP88q1KqyTA6m9aUyxgGObv2LyHHGADTezbwJ586k2MWb8prcq8L/AKsNggNnnpiiYzxBeaycw1o1zENLuG8RaVhGyeo4OaVtUqwHabGitW1Nywvban3MpAtY4XkRdrpyVTg/c1RuAcQ1G5m+8h25lWMbZFBV1CFpFwQnHIHr15rPqIyQBCW2twQf+wxp3aCSxtLextUFxGz+HqzOfufSk7qSxO04EVspS5/Nfg/tD91dXF1H3N2Y1Zhho3dlKZ/lSRRkbB5i9VVaHcmfnx/2KmtXNhZW1xZRWqW85Xdmc71kPrn+9P1G5yDn0/CPVoceYTu/acxluZ0LshMZfhwvRhXoQOJj2Nh92MTNhufpwPPNDtGJoaRywyYVskQ3aNKC4B/ZjqQOT/el33FMCN1thjt6zv2nOgt41iGIwoCr6CkRPAuxZiW6zi3aj9JEmEJLDb7Q42P4cE9T8/2p2oeoljkz3CpVTp1rpiNfNvuDmTeo4DAYFaa9JiW5JyZsJXlVbc/iJwD5VGznMoT2M8LbdcuYgxGfCAADjnz8uKJniBKeqMlnpCSm0hnVxCIwWljPCnB8Xx7H3pQuA5OeJpVaclB7wdr08NtAbCIRFlkYMyHPhB4wffrVq0JfdmE1dgrq2d4vQs0TiRWIkzxjyptgCMGYVbMrblPPwjPpXbHUbdVtp7iR4wMAk/57UndpgR6entN3SeKKW23rz7xit9Z0idEEtuqSYO6Ux81mNp7FPB4m2rK4yDkS095Y2Jj3FnDZLCMhfCfwn/ihionqJfatoJUgdIWsO0PZ21RNrzI+ckyRbtvxhqItAD7gSPr5xSzTXnPqBHz/AMiBO1moaddxtJYTpIP3Qr7SOf4Tg+tHqoVSSJZLXpXaw+vnOe6hNvcRdTnJx5Vo1LgZmH4hqAzCsyGQ7MAelWUZ6xNyVPEI284lUGWF5HC4O05yvTkVUqc8Qwu9Pqklk81hfSJJE8dvMc924x8fce1VuGV+ML4fbsu9XQxttYtPlsF3mTviR9PKw8A/05HvnqKzyD0XgnrPQNWxO8dJvqdzcapYyzOyRLY4ibJ5JJxgY+DQ0pKNzFA6oeOczfQr23t9NiWRo/1j7m3qAV5HIOMjp1zRLqW2kiLeaWswe0dtSiSK1jisYklt3UOXkkJdjg+nJP8AxWYD5zFQMYhNPZltzH1fLiLb9oI7K1iljSJplZhISASAR0z+dHqqO7jrD37Nx3niIupdzLKGNm0IkYkyEkDn+w9q1agw4LflMy505bEHtI0KI4Yb34IAOQP8/pRtuespTds5EY+xbWZ1ICUSGRvDtIyvP+Y+9K6nIXEYuZhp3ZDzO0afN5VnzyRnGu1l1cmeezhkLQGVnbZ1kP8AEfP/AKrQ02G5JzPa3vsRQowcfp8Ioz2sis6bD3gJAHrT6sveZFysFyI99n+ydoba3ulu4rm7ZC0kLYKx/b1pTU2MF9Jl6xuPqEqtpYk1Ke5eNRbRkrHGuB3krcKPtjPwKim3NGSesYr0pa4ADpK1xPe6IV78YaWJlEW7ovkfzqqgPlZos4XkROuGaV2IGSxzT6AKJgapjYxxyTJorZPw7izbdxIHT2/nXFuZ1dRUY7yOSFQ52fh8q7dKmkdplZpUTZuyKjapOYQXWom0Gegu5YCceIHqCa5q1aRVrbac85nnv5jnACj25qRSonP4jc444kDTzEcu32NXCKO0VbUWsOWmqNmUb88jqakjjAlKyd+TLE/n+VDSM29DLumX3dWgSNsShseLkH0z/wAVV1bf8JNboK/jJL2aa5YtcFmlUDIyTj86oBgyWu3ADHSXdJuFKtFM7iFuSckbWHnilrlIOR1noNDqQ64JhP8AUpBI8ZlaPOfEuC4/2/3oa8tgxm+pdm9e8P2F1pk/cd9ZzbUlEsrd0FTAwcfPH9Kuzd2mS1DKTgiTdoe1tiL61K3M0SfTkzIoxuOQeODjOMYHlS1NBcEhZUWin0uZzrUtSNxqEk0XhiJ3bVGBn1A9K0q6dij3iV2sax+OkkmuXubUFGLnI49KGqBX5jDsGr4m93bb7aCPvNxUtIxIxsGOQPbp9waYJVVwIDy2PJhXssYf0nCrKQ2cLis7VhinE0rcLpXJ9p1/TZSce9JkTxxnKJlkhv5Nygyov4W5II9vzpyuzYo4+E9o4FoDe8oWtzDa6lHPqFsJov8A9FK5o+5iDtg7KhjEZk12yDyDQ4ba2idVRpJTgZPkAByaUah7OX4lEAQ46ySGXT1ifvXZhBzEyglXlz4j/apJGCp/L/M1FR0X09+vynPtZupJ7tnllaV2PLO2eafpHHMzNa4RsCVNywpuQZdsguepov4uIlkVDd1JhDSGKRzk7H7yM/qyM8+vyKHd2Ah9IoO5mM0lsZLZ2ilwW7sFSrZGSAev3qd3OJxpIGRMWkBk7xe7LLjBbptqHJxkQYUZxKV2sKsViycHBPlRa9xGTFrgvRZXi2klSPEelXbOIsgBODPLEzS7AM/0qd3E5ayWxLMtoxjzH1UdT5460PeA2Iy2mZkyO0hkYsoJHUYqVGIJidstWMEThG2nKHLj2qruRL0Uq5GIUt4oLfvIrszJK6FEfy8uf6UBrCwBHSFFG0kGevrW6RkkaHEe0LuVThsc5qosQ8d4zSTWeOk2tr64eWMhmk2jABPkKo1c2qdRwB2hHWnubqzt2t7h3UnZ9ORtMLemOhHv7mrV44BieqpKkso4ilcLKJSzlmJODuOTTikTBtQhveS2tnLdsACF5xtqeBOVS5hO1t4bS4RCZO8zyEPP/FAsJb8Ij1aCuEmhtZW7qSVlJ6mM7+PIHy9elBZto9R5+EPuAGTwIY7O6Wtvc96z5/hGOaTts3xHW69Wr8qvoe86HpgOFoBmCZyiZnt9cE7zIFaTOHJyfPninQu6rnrPVUWA0IFOeISh0oXEUt3PHItpKoWM43Ddn74HNdUwCYc8xwWBsKOsq3Is47aO2UKkUDtgjq7nqfgVBdyMiGWtCcLAl/qrWoX6TCbeAuMj08/mjUU7jloPXawUJ6YBti01xuk5xTr4VcCYWmZ9RfueHNbtO6ghKxhB3av4eC2Rkn+dK1Od2JqamoFOILiuZI1MaNhM5xxTUzDuIwI46PZ2GqaA1vamManE25zI3Lqecr8Hj780nc6oAx4mvUCF65GP3i8yS2hbeG27v1gHmBx/c0QMGHEDYhU5M2nj0maI/TPJ3rMNqCLBHya77xTkniLla34xK1/YwwW4lhZsk8K/4vfpRFfcYrZQVGRJ4NNuFhtbuS3EFpKCEkPO48jP5g0N7FyVzzGKEJwccScgwEMEBj/dNBPJmoijHIlKeJXXwxkbixJA6c5NMVs2Zl31qCcCGbKx01rWTuiA4IZJCSBjzB9v70rZcwyGEJpasEES3Ppstw9vDLE57o+LAztU88/agK7LuIj9qocS7q00NvoX05YqoY97uzuHoB/Kg0I73botcgUfCIdveNDco0fCK4YZGehzW21eRz1idOrZHC/0wgNReWZzK5IfkBuAD6UuagBxNE6veTuPBkFwid5vUsVbnGOVoiMehiFlYBz2m0F28albYdyvm/Vz9/8AarE/GCFqqOJmFJJSSoyT+Jup/OhMwEE17HpCmlxkyZAy2aUuPEC9hxyY9aLYSthmHB8qVJiTtmOlhamMDiqEwBnLO0NrZSWkPcLPPOBl3UBe79gM885rUOFI2H5xzw/V+VlWPErad2mv4rBrSdpAvCqTHwBz5dfOoatCfjNtMWjchgDU73M5jjDhD/F1b3/OjeUM5h0vNa7B+cD3SsxyxPwaOmBMK+5rXOTLuiWclwk0kUbP3Q3SYH4R6mh6hiJq+FKCCe+YW1YO0ihvF+rVQvp4RSdTe81rlyJUXTJLmxE6nwxjptxim2tUd5k+Wd2BN7C3uI3WSIPGwAYSJ5Dy+PvQreRyMiOUnHEYNJks2uJ4O0fexPcoQky8q2cYzj/MiqgCtdyzmOTslTX9CtbWUNZXCuQqsHjI2sD0PzVK9Rv4Ik/ZgV3DgyXQLC41W5i0m4iCzO5BYj8Axkn4wDVbVNfrUwYZAh3dow6+JEhOiwOhsrDwu6w+Ld1AHsCRQq3LIXaFppHB94pquWdHUMN3ANWZu8fCbRiX9P0SS/0uQx7co/XdjHlUi/baF95k6hQr8z2i6DCh724UFA2Au8gqw5+44qdQbduRGK6UP4YfVpIQ/wBXeoYlXMUboVUk/wBePihCsFcH94QVMh9IgDtVK95oiw70aRp+8fD5J+PLHnTGnKK2cwN+lsdTFmz06CVo0l3BCTuYcYpl7TjK9YqNJgeoSnLZTKxjjBYK2Bx+VXFoI5i7UuOFkqxTxDupAApXcSQeBVcqeRDYdVIeeROfaqkzJPWFdPsJrg4VSFpexwJQ2YjtoGgiIKSvPvSTsSYBrMx70+0SNV8I4oUATC0SAV0icgwMevzWlAyrOiMfGAR6EVXENVY9Z9JxAmpRiWTe/LKNo9hRVYx37XaQQT1gW5TJNMIYMGEuy1yLb66N5VjV1VyCcB9pOB79elC1YZlG2bvg9iKzbpteaiVJmBw/VT60OqrsZqauwKhIMj02e4YOCjsvVnQZwM9TV7KAekRqfGMw7EIElSPS5ZFkIyZCxwxzwCDwfgCiKR0HWQc8lukx9HDcYu2NtFdLIVlglkwrkdeM8ipIYAHEhmViQeZZ0W90eeJ7W8jFu4kO2aIbgoB/CfUD1+KT1G9egmhpHNiDacnpgxkttJV9QW/sbtO+GQs4bxsmOeCOtZ1msVgUYHiQ6KpGRj4SAxmH6y7uAo2jARDnvMkcsc8nPr68YrvPFmFr4HtHABgKP1iVqt6v1pMe0YVWIA4BIyR9ulaKU+kSj2qhx7Qtomqd0zyQSpHHIFHTIOAAfjml9SnI45ELTTVco3cxlih06YF98Ss65WQyBSCeo58qEL7g2F5iz6Vk/Bn+YJl0O1ub6MzK0iB9rI10fEPbHQUc6o7cYwYNtNeASG4+Unl7K6bPcxiyj7sDIZXuG/ME0uviO0YcZlQuoVdzdJNZ9i4YstdXqkEk+HqR6UnZ4qx/9ayz3AjBEg1a0stNC/QxqHQ7i5OTmr6e6yz8cr5qIvPWJmpOO82/tJmGAfNa2aQcfCZus1K7MDrLmi6IZ2DSDr5VFlp7TDZ8dI9aXpKxqPCB8UqzRdmJjPZ2iqo4oRlcwrBHiqyJcQV0mc7l0SziVma7lbb1CqDg88fyNbPkj3keXK02iadtB+vkI3bCVTocZ5+2a4UyfLlC57O6WSc6lLjGfwjpU+TCBcSjcdkdNDMH1GZSDjG0c/5miKkKBKsfZDS3nG3UZyUOSNo5xj+XNE2jELWxVwRCp7I6YUZ/rZY5FGWLKMMvsaBswBN/7UpOSono+z2lw3DOl3LjwgKoHUdf6+dGGMcxHJTIEM9mYLLSLtriG5V5X4KzRqQV4wAfLqPk5qllW8ccQYs42mbTaLpusavcX4kghjljYPahQqkA8sPMEnnINcqkDBhVsC9M5ktn2V0dZAlvP4gTswA23z5/n1payotzmMprGVukJRdn7SCRpI7mfIGAVA2r64x0zSdukV+8c+2WMu0gQVq+lw3Z2/USqMYyFHTy/wC6LTo1QdZH201doqzdirOS6mk+tuR3nltFaS14UCY76om13H9U2j7JQox231wBkYUIox+QqXpVusnT6y2okL0hS27JWwCsb+4Zzzggce9JvSOk2U8RsI5EvW2iQ2qssF1N3jZBlIGcHrjyqh0qzm8Sc8EZksOhIBzez56ZwKA2jTMrb4pYR0Epapof1CrGmpXConTpk0ejRVoSSOsyL9azmUD2YjJONQuWJHJIHWmBp09oudQ02sewtq0oY3kzN15A61LoMYirtmOGm9lIIAu2aQ49hSxoHvAEQ5b6NFGP2jZ+KGdOPeV2S9HpyLjxt+VR9nHvO2Sylmo/fNR9mHvO2SUWq/xmu+zD3k7IpEA9RmtGRI2VefCOfaukyu6J/Av5VwlhK0yqeqg/ariXlcqo5CgH4q4lpheSQeagxugwnaxpuQ7Fzg84oHeOsOJC8afUjwL1Hl71ZZBAxGrT4o+6/Zp+H+EelX7QR7SC/VVs02qBz5Cgv+ERioeuULslYrlVJC7xwOnSoHWEHaBbr8J+9Fr6xbUdDKVHmdMx/tBUN0hK/wAUsN+NviqCNnrJ4/2S/NUPWEHSbH8DfFV7xe2Un5NG7RSZXqK7tIMNab1FAaBaMNv0qhlJcTpVZwkq1EkyVa6cJsKidP/Z"/>
        <xdr:cNvSpPr>
          <a:spLocks noChangeAspect="1" noChangeArrowheads="1"/>
        </xdr:cNvSpPr>
      </xdr:nvSpPr>
      <xdr:spPr bwMode="auto">
        <a:xfrm>
          <a:off x="16912166" y="2328333"/>
          <a:ext cx="191452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ivier's%20Documents\EBRD\Egypt%20PICO\Cigar%20Box\CB1%20C%20Pico%20Agroprocessing%20Company%20C%20-%20Drying%20B2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B1%20Tropical%20Frui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"/>
      <sheetName val="Tomato"/>
      <sheetName val="Chilies"/>
      <sheetName val="Mango"/>
      <sheetName val="Apricot"/>
      <sheetName val="Plum"/>
      <sheetName val="Garlic"/>
      <sheetName val="Onions"/>
      <sheetName val="Broccoli"/>
      <sheetName val="Herbs"/>
      <sheetName val="PR Chilies"/>
      <sheetName val="PR Mango"/>
      <sheetName val="PR Apricot"/>
      <sheetName val="PR Plum"/>
      <sheetName val="PR Ginger"/>
      <sheetName val="PR Herbs"/>
      <sheetName val="PR Onions"/>
      <sheetName val="PR Broccoli"/>
      <sheetName val="PR Potato"/>
    </sheetNames>
    <sheetDataSet>
      <sheetData sheetId="0">
        <row r="2">
          <cell r="O2">
            <v>20</v>
          </cell>
          <cell r="U2">
            <v>7.5</v>
          </cell>
        </row>
        <row r="15">
          <cell r="N15">
            <v>360</v>
          </cell>
        </row>
      </sheetData>
      <sheetData sheetId="1">
        <row r="3">
          <cell r="L3">
            <v>1</v>
          </cell>
        </row>
        <row r="33">
          <cell r="O33">
            <v>8.6805555555555554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 Data Tropical fruit"/>
      <sheetName val="CB1 Tropical frui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59"/>
  <sheetViews>
    <sheetView tabSelected="1" zoomScale="80" zoomScaleNormal="80" zoomScaleSheetLayoutView="80" workbookViewId="0">
      <selection activeCell="G7" sqref="G7"/>
    </sheetView>
  </sheetViews>
  <sheetFormatPr defaultColWidth="9.109375" defaultRowHeight="14.4" x14ac:dyDescent="0.3"/>
  <cols>
    <col min="1" max="1" width="1.88671875" style="33" customWidth="1"/>
    <col min="2" max="2" width="4.88671875" style="43" bestFit="1" customWidth="1"/>
    <col min="3" max="3" width="34.5546875" style="33" bestFit="1" customWidth="1"/>
    <col min="4" max="4" width="49.77734375" style="135" customWidth="1"/>
    <col min="5" max="5" width="45.6640625" style="33" customWidth="1"/>
    <col min="6" max="6" width="26.33203125" style="43" customWidth="1"/>
    <col min="7" max="7" width="39.109375" style="43" customWidth="1"/>
    <col min="8" max="8" width="15.21875" style="43" customWidth="1"/>
    <col min="9" max="9" width="14.77734375" style="43" customWidth="1"/>
    <col min="10" max="10" width="21.6640625" style="33" hidden="1" customWidth="1"/>
    <col min="11" max="11" width="12" style="33" hidden="1" customWidth="1"/>
    <col min="12" max="12" width="4" style="33" customWidth="1"/>
    <col min="13" max="16384" width="9.109375" style="33"/>
  </cols>
  <sheetData>
    <row r="2" spans="1:11" x14ac:dyDescent="0.3">
      <c r="A2" s="79"/>
      <c r="B2" s="80" t="s">
        <v>123</v>
      </c>
      <c r="C2" s="81" t="s">
        <v>124</v>
      </c>
      <c r="D2" s="129" t="s">
        <v>131</v>
      </c>
      <c r="E2" s="81" t="s">
        <v>130</v>
      </c>
      <c r="F2" s="80" t="s">
        <v>220</v>
      </c>
      <c r="G2" s="80" t="s">
        <v>213</v>
      </c>
      <c r="H2" s="80" t="s">
        <v>214</v>
      </c>
      <c r="I2" s="80" t="s">
        <v>126</v>
      </c>
      <c r="J2" s="56" t="s">
        <v>125</v>
      </c>
      <c r="K2" s="55" t="s">
        <v>126</v>
      </c>
    </row>
    <row r="3" spans="1:11" ht="41.4" x14ac:dyDescent="0.3">
      <c r="A3" s="79"/>
      <c r="B3" s="84">
        <v>1</v>
      </c>
      <c r="C3" s="85" t="s">
        <v>198</v>
      </c>
      <c r="D3" s="86" t="s">
        <v>197</v>
      </c>
      <c r="E3" s="86" t="s">
        <v>199</v>
      </c>
      <c r="F3" s="87" t="s">
        <v>167</v>
      </c>
      <c r="G3" s="87"/>
      <c r="H3" s="87"/>
      <c r="I3" s="88"/>
      <c r="J3" s="53"/>
      <c r="K3" s="57"/>
    </row>
    <row r="4" spans="1:11" ht="25.8" customHeight="1" x14ac:dyDescent="0.3">
      <c r="A4" s="79"/>
      <c r="B4" s="84">
        <v>2</v>
      </c>
      <c r="C4" s="85" t="s">
        <v>138</v>
      </c>
      <c r="D4" s="86" t="s">
        <v>139</v>
      </c>
      <c r="E4" s="86"/>
      <c r="F4" s="87"/>
      <c r="G4" s="87"/>
      <c r="H4" s="87"/>
      <c r="I4" s="88"/>
      <c r="J4" s="53"/>
      <c r="K4" s="57"/>
    </row>
    <row r="5" spans="1:11" ht="25.8" customHeight="1" x14ac:dyDescent="0.3">
      <c r="A5" s="79"/>
      <c r="B5" s="88">
        <v>3</v>
      </c>
      <c r="C5" s="90" t="s">
        <v>195</v>
      </c>
      <c r="D5" s="90" t="s">
        <v>135</v>
      </c>
      <c r="E5" s="90" t="s">
        <v>200</v>
      </c>
      <c r="F5" s="88"/>
      <c r="G5" s="88"/>
      <c r="H5" s="88"/>
      <c r="I5" s="88"/>
      <c r="J5" s="53"/>
      <c r="K5" s="57"/>
    </row>
    <row r="6" spans="1:11" ht="25.8" customHeight="1" x14ac:dyDescent="0.3">
      <c r="A6" s="79"/>
      <c r="B6" s="91">
        <v>4</v>
      </c>
      <c r="C6" s="126" t="s">
        <v>201</v>
      </c>
      <c r="D6" s="92"/>
      <c r="E6" s="92"/>
      <c r="F6" s="93" t="s">
        <v>196</v>
      </c>
      <c r="G6" s="93"/>
      <c r="H6" s="93"/>
      <c r="I6" s="94"/>
      <c r="J6" s="58"/>
      <c r="K6" s="49">
        <f>K12+K10+K9</f>
        <v>2525</v>
      </c>
    </row>
    <row r="7" spans="1:11" ht="25.8" customHeight="1" x14ac:dyDescent="0.3">
      <c r="A7" s="79"/>
      <c r="B7" s="84">
        <v>5</v>
      </c>
      <c r="C7" s="85" t="s">
        <v>132</v>
      </c>
      <c r="D7" s="86" t="s">
        <v>134</v>
      </c>
      <c r="E7" s="86"/>
      <c r="F7" s="95"/>
      <c r="G7" s="95"/>
      <c r="H7" s="95"/>
      <c r="I7" s="95"/>
      <c r="J7" s="53"/>
      <c r="K7" s="57"/>
    </row>
    <row r="8" spans="1:11" ht="25.8" customHeight="1" x14ac:dyDescent="0.3">
      <c r="A8" s="79"/>
      <c r="B8" s="91">
        <v>6</v>
      </c>
      <c r="C8" s="126" t="s">
        <v>133</v>
      </c>
      <c r="D8" s="92"/>
      <c r="E8" s="92"/>
      <c r="F8" s="93" t="s">
        <v>172</v>
      </c>
      <c r="G8" s="93"/>
      <c r="H8" s="93"/>
      <c r="I8" s="94"/>
      <c r="J8" s="58"/>
      <c r="K8" s="49"/>
    </row>
    <row r="9" spans="1:11" ht="25.8" customHeight="1" x14ac:dyDescent="0.3">
      <c r="A9" s="79"/>
      <c r="B9" s="84">
        <v>7</v>
      </c>
      <c r="C9" s="85" t="s">
        <v>128</v>
      </c>
      <c r="D9" s="86" t="s">
        <v>136</v>
      </c>
      <c r="E9" s="86"/>
      <c r="F9" s="96" t="s">
        <v>173</v>
      </c>
      <c r="G9" s="96"/>
      <c r="H9" s="96"/>
      <c r="I9" s="95"/>
      <c r="J9" s="53"/>
      <c r="K9" s="57"/>
    </row>
    <row r="10" spans="1:11" s="44" customFormat="1" ht="25.8" customHeight="1" x14ac:dyDescent="0.3">
      <c r="A10" s="82"/>
      <c r="B10" s="97">
        <v>8</v>
      </c>
      <c r="C10" s="85" t="s">
        <v>129</v>
      </c>
      <c r="D10" s="85" t="s">
        <v>137</v>
      </c>
      <c r="E10" s="89"/>
      <c r="F10" s="97"/>
      <c r="G10" s="97"/>
      <c r="H10" s="97"/>
      <c r="I10" s="97"/>
      <c r="J10" s="59"/>
      <c r="K10" s="60">
        <v>25</v>
      </c>
    </row>
    <row r="11" spans="1:11" ht="25.8" customHeight="1" x14ac:dyDescent="0.3">
      <c r="A11" s="79"/>
      <c r="B11" s="91">
        <v>9</v>
      </c>
      <c r="C11" s="126" t="s">
        <v>127</v>
      </c>
      <c r="D11" s="92"/>
      <c r="E11" s="92"/>
      <c r="F11" s="93" t="s">
        <v>174</v>
      </c>
      <c r="G11" s="93"/>
      <c r="H11" s="93"/>
      <c r="I11" s="94"/>
      <c r="J11" s="58"/>
      <c r="K11" s="61">
        <f>K9+K10</f>
        <v>25</v>
      </c>
    </row>
    <row r="12" spans="1:11" ht="25.8" customHeight="1" x14ac:dyDescent="0.3">
      <c r="A12" s="79"/>
      <c r="B12" s="98">
        <v>10</v>
      </c>
      <c r="C12" s="127" t="s">
        <v>12</v>
      </c>
      <c r="D12" s="99"/>
      <c r="E12" s="99"/>
      <c r="F12" s="100" t="s">
        <v>175</v>
      </c>
      <c r="G12" s="100"/>
      <c r="H12" s="100"/>
      <c r="I12" s="101"/>
      <c r="J12" s="63" t="s">
        <v>118</v>
      </c>
      <c r="K12" s="64">
        <f>4/1.6*1000</f>
        <v>2500</v>
      </c>
    </row>
    <row r="13" spans="1:11" ht="25.8" customHeight="1" x14ac:dyDescent="0.3">
      <c r="A13" s="79"/>
      <c r="B13" s="84">
        <v>11</v>
      </c>
      <c r="C13" s="85" t="s">
        <v>202</v>
      </c>
      <c r="D13" s="85"/>
      <c r="E13" s="85"/>
      <c r="F13" s="84"/>
      <c r="G13" s="84"/>
      <c r="H13" s="84"/>
      <c r="I13" s="84"/>
      <c r="J13" s="65" t="s">
        <v>117</v>
      </c>
      <c r="K13" s="66">
        <f>30/110*1000</f>
        <v>272.72727272727269</v>
      </c>
    </row>
    <row r="14" spans="1:11" ht="55.2" x14ac:dyDescent="0.3">
      <c r="A14" s="79"/>
      <c r="B14" s="84">
        <v>12</v>
      </c>
      <c r="C14" s="85" t="s">
        <v>18</v>
      </c>
      <c r="D14" s="85" t="s">
        <v>142</v>
      </c>
      <c r="E14" s="85"/>
      <c r="F14" s="84"/>
      <c r="G14" s="84"/>
      <c r="H14" s="84"/>
      <c r="I14" s="84"/>
      <c r="J14" s="45"/>
      <c r="K14" s="67">
        <v>4.13</v>
      </c>
    </row>
    <row r="15" spans="1:11" ht="27" customHeight="1" x14ac:dyDescent="0.3">
      <c r="A15" s="79"/>
      <c r="B15" s="102">
        <v>13</v>
      </c>
      <c r="C15" s="103" t="s">
        <v>22</v>
      </c>
      <c r="D15" s="103"/>
      <c r="E15" s="103"/>
      <c r="F15" s="104" t="s">
        <v>176</v>
      </c>
      <c r="G15" s="104"/>
      <c r="H15" s="104"/>
      <c r="I15" s="102"/>
      <c r="J15" s="45" t="s">
        <v>116</v>
      </c>
      <c r="K15" s="68">
        <f>K13*K14</f>
        <v>1126.3636363636363</v>
      </c>
    </row>
    <row r="16" spans="1:11" ht="27.6" x14ac:dyDescent="0.3">
      <c r="A16" s="79"/>
      <c r="B16" s="84">
        <v>14</v>
      </c>
      <c r="C16" s="85" t="s">
        <v>25</v>
      </c>
      <c r="D16" s="85" t="s">
        <v>141</v>
      </c>
      <c r="E16" s="85" t="s">
        <v>115</v>
      </c>
      <c r="F16" s="84"/>
      <c r="G16" s="84"/>
      <c r="H16" s="84"/>
      <c r="I16" s="84"/>
      <c r="J16" s="45"/>
      <c r="K16" s="67">
        <v>0</v>
      </c>
    </row>
    <row r="17" spans="1:11" ht="25.8" customHeight="1" x14ac:dyDescent="0.3">
      <c r="A17" s="79"/>
      <c r="B17" s="91">
        <v>15</v>
      </c>
      <c r="C17" s="126" t="s">
        <v>27</v>
      </c>
      <c r="D17" s="92"/>
      <c r="E17" s="92"/>
      <c r="F17" s="93" t="s">
        <v>177</v>
      </c>
      <c r="G17" s="93"/>
      <c r="H17" s="93"/>
      <c r="I17" s="94"/>
      <c r="J17" s="58"/>
      <c r="K17" s="49">
        <f>K15+K16</f>
        <v>1126.3636363636363</v>
      </c>
    </row>
    <row r="18" spans="1:11" ht="41.4" x14ac:dyDescent="0.3">
      <c r="A18" s="79"/>
      <c r="B18" s="84">
        <v>16</v>
      </c>
      <c r="C18" s="85" t="s">
        <v>203</v>
      </c>
      <c r="D18" s="86" t="s">
        <v>143</v>
      </c>
      <c r="E18" s="86" t="s">
        <v>114</v>
      </c>
      <c r="F18" s="95"/>
      <c r="G18" s="95"/>
      <c r="H18" s="95"/>
      <c r="I18" s="95"/>
      <c r="J18" s="53" t="s">
        <v>113</v>
      </c>
      <c r="K18" s="57">
        <f>(30+30)/10/110*1000</f>
        <v>54.54545454545454</v>
      </c>
    </row>
    <row r="19" spans="1:11" ht="55.2" x14ac:dyDescent="0.3">
      <c r="A19" s="79"/>
      <c r="B19" s="84">
        <v>17</v>
      </c>
      <c r="C19" s="85" t="s">
        <v>204</v>
      </c>
      <c r="D19" s="85" t="s">
        <v>146</v>
      </c>
      <c r="E19" s="85" t="s">
        <v>144</v>
      </c>
      <c r="F19" s="105" t="s">
        <v>145</v>
      </c>
      <c r="G19" s="105"/>
      <c r="H19" s="105"/>
      <c r="I19" s="84"/>
      <c r="J19" s="65" t="s">
        <v>112</v>
      </c>
      <c r="K19" s="69">
        <f>100/((10*110*2)/4.13)*1000</f>
        <v>187.72727272727272</v>
      </c>
    </row>
    <row r="20" spans="1:11" ht="22.8" customHeight="1" x14ac:dyDescent="0.3">
      <c r="A20" s="79"/>
      <c r="B20" s="91">
        <v>18</v>
      </c>
      <c r="C20" s="126" t="s">
        <v>34</v>
      </c>
      <c r="D20" s="92"/>
      <c r="E20" s="92"/>
      <c r="F20" s="93" t="s">
        <v>178</v>
      </c>
      <c r="G20" s="93"/>
      <c r="H20" s="93"/>
      <c r="I20" s="94"/>
      <c r="J20" s="58"/>
      <c r="K20" s="61">
        <f>K18+K19</f>
        <v>242.27272727272725</v>
      </c>
    </row>
    <row r="21" spans="1:11" ht="55.2" x14ac:dyDescent="0.3">
      <c r="A21" s="79"/>
      <c r="B21" s="84">
        <v>19</v>
      </c>
      <c r="C21" s="85" t="s">
        <v>209</v>
      </c>
      <c r="D21" s="86" t="s">
        <v>210</v>
      </c>
      <c r="E21" s="86" t="s">
        <v>211</v>
      </c>
      <c r="F21" s="96" t="s">
        <v>212</v>
      </c>
      <c r="G21" s="96"/>
      <c r="H21" s="96"/>
      <c r="I21" s="95"/>
      <c r="J21" s="53" t="s">
        <v>111</v>
      </c>
      <c r="K21" s="70">
        <v>0.5</v>
      </c>
    </row>
    <row r="22" spans="1:11" ht="25.2" customHeight="1" x14ac:dyDescent="0.3">
      <c r="A22" s="79"/>
      <c r="B22" s="84">
        <v>20</v>
      </c>
      <c r="C22" s="85" t="s">
        <v>205</v>
      </c>
      <c r="D22" s="85" t="s">
        <v>208</v>
      </c>
      <c r="E22" s="85"/>
      <c r="F22" s="84"/>
      <c r="G22" s="84"/>
      <c r="H22" s="84"/>
      <c r="I22" s="84"/>
      <c r="J22" s="65" t="s">
        <v>109</v>
      </c>
      <c r="K22" s="71">
        <f>1000/(19*1.6)</f>
        <v>32.89473684210526</v>
      </c>
    </row>
    <row r="23" spans="1:11" ht="25.2" customHeight="1" x14ac:dyDescent="0.3">
      <c r="A23" s="79"/>
      <c r="B23" s="91">
        <v>21</v>
      </c>
      <c r="C23" s="126" t="s">
        <v>43</v>
      </c>
      <c r="D23" s="131"/>
      <c r="E23" s="106"/>
      <c r="F23" s="93" t="s">
        <v>179</v>
      </c>
      <c r="G23" s="93"/>
      <c r="H23" s="93"/>
      <c r="I23" s="94"/>
      <c r="J23" s="48"/>
      <c r="K23" s="49">
        <f>K21*K22</f>
        <v>16.44736842105263</v>
      </c>
    </row>
    <row r="24" spans="1:11" ht="25.2" customHeight="1" x14ac:dyDescent="0.3">
      <c r="A24" s="79"/>
      <c r="B24" s="84">
        <v>22</v>
      </c>
      <c r="C24" s="85" t="s">
        <v>147</v>
      </c>
      <c r="D24" s="85" t="s">
        <v>148</v>
      </c>
      <c r="E24" s="85"/>
      <c r="F24" s="105" t="s">
        <v>180</v>
      </c>
      <c r="G24" s="105"/>
      <c r="H24" s="105"/>
      <c r="I24" s="84"/>
      <c r="J24" s="45"/>
      <c r="K24" s="72">
        <f>1%*(K17+K20+K23)</f>
        <v>13.850837320574163</v>
      </c>
    </row>
    <row r="25" spans="1:11" ht="25.2" customHeight="1" x14ac:dyDescent="0.3">
      <c r="A25" s="79"/>
      <c r="B25" s="98">
        <v>23</v>
      </c>
      <c r="C25" s="127" t="s">
        <v>48</v>
      </c>
      <c r="D25" s="99"/>
      <c r="E25" s="99"/>
      <c r="F25" s="100" t="s">
        <v>181</v>
      </c>
      <c r="G25" s="100"/>
      <c r="H25" s="100"/>
      <c r="I25" s="101"/>
      <c r="J25" s="62"/>
      <c r="K25" s="52">
        <f>K17+K20+K23+K24</f>
        <v>1398.9345693779903</v>
      </c>
    </row>
    <row r="26" spans="1:11" ht="25.2" customHeight="1" x14ac:dyDescent="0.3">
      <c r="A26" s="79"/>
      <c r="B26" s="98">
        <v>24</v>
      </c>
      <c r="C26" s="127" t="s">
        <v>108</v>
      </c>
      <c r="D26" s="99"/>
      <c r="E26" s="99"/>
      <c r="F26" s="100" t="s">
        <v>182</v>
      </c>
      <c r="G26" s="100"/>
      <c r="H26" s="100"/>
      <c r="I26" s="101"/>
      <c r="J26" s="62"/>
      <c r="K26" s="52">
        <f>K12-K25</f>
        <v>1101.0654306220097</v>
      </c>
    </row>
    <row r="27" spans="1:11" ht="25.2" customHeight="1" x14ac:dyDescent="0.3">
      <c r="A27" s="79"/>
      <c r="B27" s="102">
        <v>25</v>
      </c>
      <c r="C27" s="103" t="s">
        <v>55</v>
      </c>
      <c r="D27" s="103"/>
      <c r="E27" s="103"/>
      <c r="F27" s="104" t="s">
        <v>183</v>
      </c>
      <c r="G27" s="104"/>
      <c r="H27" s="104"/>
      <c r="I27" s="102"/>
      <c r="J27" s="46" t="s">
        <v>107</v>
      </c>
      <c r="K27" s="73">
        <f>K26/K12</f>
        <v>0.44042617224880387</v>
      </c>
    </row>
    <row r="28" spans="1:11" ht="41.4" x14ac:dyDescent="0.3">
      <c r="A28" s="79"/>
      <c r="B28" s="98">
        <v>26</v>
      </c>
      <c r="C28" s="127" t="s">
        <v>206</v>
      </c>
      <c r="D28" s="99" t="s">
        <v>207</v>
      </c>
      <c r="E28" s="99" t="s">
        <v>217</v>
      </c>
      <c r="F28" s="100"/>
      <c r="G28" s="100"/>
      <c r="H28" s="100"/>
      <c r="I28" s="101"/>
      <c r="J28" s="62" t="s">
        <v>106</v>
      </c>
      <c r="K28" s="52">
        <f>2*3.3/4.13*52</f>
        <v>83.099273607748188</v>
      </c>
    </row>
    <row r="29" spans="1:11" s="76" customFormat="1" ht="18" customHeight="1" x14ac:dyDescent="0.35">
      <c r="A29" s="79"/>
      <c r="B29" s="107">
        <v>27</v>
      </c>
      <c r="C29" s="108" t="s">
        <v>140</v>
      </c>
      <c r="D29" s="108"/>
      <c r="E29" s="108"/>
      <c r="F29" s="109" t="s">
        <v>184</v>
      </c>
      <c r="G29" s="109"/>
      <c r="H29" s="109"/>
      <c r="I29" s="107"/>
      <c r="J29" s="107"/>
      <c r="K29" s="75">
        <f>K26*K28</f>
        <v>91497.737479291463</v>
      </c>
    </row>
    <row r="30" spans="1:11" x14ac:dyDescent="0.3">
      <c r="A30" s="79"/>
      <c r="B30" s="83"/>
      <c r="C30" s="128"/>
      <c r="D30" s="128"/>
      <c r="E30" s="79"/>
      <c r="F30" s="83"/>
      <c r="G30" s="83"/>
      <c r="H30" s="83"/>
      <c r="I30" s="83"/>
    </row>
    <row r="31" spans="1:11" x14ac:dyDescent="0.3">
      <c r="A31" s="79"/>
      <c r="B31" s="83"/>
      <c r="C31" s="128"/>
      <c r="D31" s="128"/>
      <c r="E31" s="79"/>
      <c r="F31" s="83"/>
      <c r="G31" s="83"/>
      <c r="H31" s="83"/>
      <c r="I31" s="83"/>
    </row>
    <row r="32" spans="1:11" x14ac:dyDescent="0.3">
      <c r="A32" s="79"/>
      <c r="B32" s="80" t="s">
        <v>123</v>
      </c>
      <c r="C32" s="129" t="s">
        <v>154</v>
      </c>
      <c r="D32" s="129" t="s">
        <v>131</v>
      </c>
      <c r="E32" s="81" t="s">
        <v>130</v>
      </c>
      <c r="F32" s="80" t="s">
        <v>125</v>
      </c>
      <c r="G32" s="80" t="s">
        <v>213</v>
      </c>
      <c r="H32" s="80" t="s">
        <v>214</v>
      </c>
      <c r="I32" s="80" t="s">
        <v>126</v>
      </c>
      <c r="J32" s="56" t="s">
        <v>125</v>
      </c>
      <c r="K32" s="55" t="s">
        <v>126</v>
      </c>
    </row>
    <row r="33" spans="1:11" ht="25.2" customHeight="1" x14ac:dyDescent="0.3">
      <c r="A33" s="79"/>
      <c r="B33" s="84">
        <f>B29+1</f>
        <v>28</v>
      </c>
      <c r="C33" s="85" t="s">
        <v>156</v>
      </c>
      <c r="D33" s="86"/>
      <c r="E33" s="86"/>
      <c r="F33" s="110"/>
      <c r="G33" s="110"/>
      <c r="H33" s="110"/>
      <c r="I33" s="110"/>
      <c r="J33" s="47"/>
      <c r="K33" s="47"/>
    </row>
    <row r="34" spans="1:11" ht="25.2" customHeight="1" x14ac:dyDescent="0.3">
      <c r="A34" s="79"/>
      <c r="B34" s="84">
        <f>B33+1</f>
        <v>29</v>
      </c>
      <c r="C34" s="85" t="s">
        <v>157</v>
      </c>
      <c r="D34" s="86"/>
      <c r="E34" s="86"/>
      <c r="F34" s="110"/>
      <c r="G34" s="110"/>
      <c r="H34" s="110"/>
      <c r="I34" s="110"/>
      <c r="J34" s="47"/>
      <c r="K34" s="47"/>
    </row>
    <row r="35" spans="1:11" ht="25.2" customHeight="1" x14ac:dyDescent="0.3">
      <c r="A35" s="79"/>
      <c r="B35" s="84">
        <f t="shared" ref="B35:B59" si="0">B34+1</f>
        <v>30</v>
      </c>
      <c r="C35" s="85" t="s">
        <v>159</v>
      </c>
      <c r="D35" s="86"/>
      <c r="E35" s="86"/>
      <c r="F35" s="110"/>
      <c r="G35" s="110"/>
      <c r="H35" s="110"/>
      <c r="I35" s="110"/>
      <c r="J35" s="47"/>
      <c r="K35" s="47"/>
    </row>
    <row r="36" spans="1:11" ht="25.2" customHeight="1" x14ac:dyDescent="0.3">
      <c r="A36" s="79"/>
      <c r="B36" s="102">
        <f t="shared" si="0"/>
        <v>31</v>
      </c>
      <c r="C36" s="103" t="s">
        <v>158</v>
      </c>
      <c r="D36" s="103"/>
      <c r="E36" s="103"/>
      <c r="F36" s="111" t="s">
        <v>185</v>
      </c>
      <c r="G36" s="111"/>
      <c r="H36" s="111"/>
      <c r="I36" s="112"/>
      <c r="J36" s="47"/>
      <c r="K36" s="47"/>
    </row>
    <row r="37" spans="1:11" ht="25.2" customHeight="1" x14ac:dyDescent="0.3">
      <c r="A37" s="79"/>
      <c r="B37" s="91">
        <f t="shared" si="0"/>
        <v>32</v>
      </c>
      <c r="C37" s="126" t="s">
        <v>24</v>
      </c>
      <c r="D37" s="131"/>
      <c r="E37" s="106"/>
      <c r="F37" s="113" t="s">
        <v>186</v>
      </c>
      <c r="G37" s="113"/>
      <c r="H37" s="113"/>
      <c r="I37" s="114"/>
      <c r="J37" s="49"/>
      <c r="K37" s="49"/>
    </row>
    <row r="38" spans="1:11" ht="25.2" customHeight="1" x14ac:dyDescent="0.3">
      <c r="A38" s="79"/>
      <c r="B38" s="88">
        <f t="shared" si="0"/>
        <v>33</v>
      </c>
      <c r="C38" s="90" t="s">
        <v>149</v>
      </c>
      <c r="D38" s="132"/>
      <c r="E38" s="115"/>
      <c r="F38" s="116"/>
      <c r="G38" s="116"/>
      <c r="H38" s="116"/>
      <c r="I38" s="117"/>
      <c r="J38" s="50"/>
      <c r="K38" s="50"/>
    </row>
    <row r="39" spans="1:11" ht="25.2" customHeight="1" x14ac:dyDescent="0.3">
      <c r="A39" s="79"/>
      <c r="B39" s="84">
        <f t="shared" si="0"/>
        <v>34</v>
      </c>
      <c r="C39" s="85" t="s">
        <v>160</v>
      </c>
      <c r="D39" s="86"/>
      <c r="E39" s="86"/>
      <c r="F39" s="110"/>
      <c r="G39" s="110"/>
      <c r="H39" s="110"/>
      <c r="I39" s="110"/>
      <c r="J39" s="47"/>
      <c r="K39" s="47"/>
    </row>
    <row r="40" spans="1:11" ht="25.2" customHeight="1" x14ac:dyDescent="0.3">
      <c r="A40" s="79"/>
      <c r="B40" s="91">
        <f t="shared" si="0"/>
        <v>35</v>
      </c>
      <c r="C40" s="126" t="s">
        <v>32</v>
      </c>
      <c r="D40" s="131"/>
      <c r="E40" s="106"/>
      <c r="F40" s="113" t="s">
        <v>187</v>
      </c>
      <c r="G40" s="113"/>
      <c r="H40" s="113"/>
      <c r="I40" s="114"/>
      <c r="J40" s="49"/>
      <c r="K40" s="49"/>
    </row>
    <row r="41" spans="1:11" ht="25.2" customHeight="1" x14ac:dyDescent="0.3">
      <c r="A41" s="79"/>
      <c r="B41" s="88">
        <f t="shared" si="0"/>
        <v>36</v>
      </c>
      <c r="C41" s="90" t="s">
        <v>35</v>
      </c>
      <c r="D41" s="132"/>
      <c r="E41" s="115"/>
      <c r="F41" s="116"/>
      <c r="G41" s="116"/>
      <c r="H41" s="116"/>
      <c r="I41" s="116"/>
      <c r="J41" s="51"/>
      <c r="K41" s="51"/>
    </row>
    <row r="42" spans="1:11" ht="25.2" customHeight="1" x14ac:dyDescent="0.3">
      <c r="A42" s="79"/>
      <c r="B42" s="88">
        <f t="shared" si="0"/>
        <v>37</v>
      </c>
      <c r="C42" s="90" t="s">
        <v>162</v>
      </c>
      <c r="D42" s="132"/>
      <c r="E42" s="115"/>
      <c r="F42" s="116"/>
      <c r="G42" s="116"/>
      <c r="H42" s="116"/>
      <c r="I42" s="116"/>
      <c r="J42" s="51"/>
      <c r="K42" s="51"/>
    </row>
    <row r="43" spans="1:11" ht="25.2" customHeight="1" x14ac:dyDescent="0.3">
      <c r="A43" s="79"/>
      <c r="B43" s="88">
        <f t="shared" si="0"/>
        <v>38</v>
      </c>
      <c r="C43" s="90" t="s">
        <v>151</v>
      </c>
      <c r="D43" s="132"/>
      <c r="E43" s="115"/>
      <c r="F43" s="116"/>
      <c r="G43" s="116"/>
      <c r="H43" s="116"/>
      <c r="I43" s="116"/>
      <c r="J43" s="51"/>
      <c r="K43" s="51"/>
    </row>
    <row r="44" spans="1:11" ht="25.2" customHeight="1" x14ac:dyDescent="0.3">
      <c r="A44" s="79"/>
      <c r="B44" s="91">
        <f t="shared" si="0"/>
        <v>39</v>
      </c>
      <c r="C44" s="126" t="s">
        <v>41</v>
      </c>
      <c r="D44" s="131"/>
      <c r="E44" s="106"/>
      <c r="F44" s="113" t="s">
        <v>163</v>
      </c>
      <c r="G44" s="113"/>
      <c r="H44" s="113"/>
      <c r="I44" s="114"/>
      <c r="J44" s="49"/>
      <c r="K44" s="49"/>
    </row>
    <row r="45" spans="1:11" ht="25.2" customHeight="1" x14ac:dyDescent="0.3">
      <c r="A45" s="79"/>
      <c r="B45" s="88">
        <f t="shared" si="0"/>
        <v>40</v>
      </c>
      <c r="C45" s="90" t="s">
        <v>152</v>
      </c>
      <c r="D45" s="132"/>
      <c r="E45" s="115"/>
      <c r="F45" s="116"/>
      <c r="G45" s="116"/>
      <c r="H45" s="116"/>
      <c r="I45" s="116"/>
      <c r="J45" s="51"/>
      <c r="K45" s="51"/>
    </row>
    <row r="46" spans="1:11" ht="25.2" customHeight="1" x14ac:dyDescent="0.3">
      <c r="A46" s="79"/>
      <c r="B46" s="88">
        <f t="shared" si="0"/>
        <v>41</v>
      </c>
      <c r="C46" s="90" t="s">
        <v>150</v>
      </c>
      <c r="D46" s="132"/>
      <c r="E46" s="115"/>
      <c r="F46" s="116"/>
      <c r="G46" s="116"/>
      <c r="H46" s="116"/>
      <c r="I46" s="116"/>
      <c r="J46" s="51"/>
      <c r="K46" s="51"/>
    </row>
    <row r="47" spans="1:11" ht="25.2" customHeight="1" x14ac:dyDescent="0.3">
      <c r="A47" s="79"/>
      <c r="B47" s="91">
        <f t="shared" si="0"/>
        <v>42</v>
      </c>
      <c r="C47" s="126" t="s">
        <v>161</v>
      </c>
      <c r="D47" s="131"/>
      <c r="E47" s="106"/>
      <c r="F47" s="113" t="s">
        <v>188</v>
      </c>
      <c r="G47" s="113"/>
      <c r="H47" s="113"/>
      <c r="I47" s="114"/>
      <c r="J47" s="49"/>
      <c r="K47" s="49"/>
    </row>
    <row r="48" spans="1:11" ht="25.2" customHeight="1" x14ac:dyDescent="0.3">
      <c r="A48" s="79"/>
      <c r="B48" s="88">
        <f t="shared" si="0"/>
        <v>43</v>
      </c>
      <c r="C48" s="90" t="s">
        <v>215</v>
      </c>
      <c r="D48" s="132" t="s">
        <v>216</v>
      </c>
      <c r="E48" s="115"/>
      <c r="F48" s="116"/>
      <c r="G48" s="116"/>
      <c r="H48" s="116"/>
      <c r="I48" s="116"/>
      <c r="J48" s="51"/>
      <c r="K48" s="51"/>
    </row>
    <row r="49" spans="1:11" ht="25.2" customHeight="1" x14ac:dyDescent="0.3">
      <c r="A49" s="79"/>
      <c r="B49" s="98">
        <f t="shared" si="0"/>
        <v>44</v>
      </c>
      <c r="C49" s="127" t="s">
        <v>44</v>
      </c>
      <c r="D49" s="99"/>
      <c r="E49" s="99"/>
      <c r="F49" s="100" t="s">
        <v>189</v>
      </c>
      <c r="G49" s="100"/>
      <c r="H49" s="100"/>
      <c r="I49" s="101"/>
      <c r="J49" s="62"/>
      <c r="K49" s="62"/>
    </row>
    <row r="50" spans="1:11" ht="25.2" customHeight="1" x14ac:dyDescent="0.3">
      <c r="A50" s="79"/>
      <c r="B50" s="118">
        <f t="shared" si="0"/>
        <v>45</v>
      </c>
      <c r="C50" s="130" t="s">
        <v>155</v>
      </c>
      <c r="D50" s="103"/>
      <c r="E50" s="103"/>
      <c r="F50" s="104" t="s">
        <v>190</v>
      </c>
      <c r="G50" s="104"/>
      <c r="H50" s="104"/>
      <c r="I50" s="102"/>
      <c r="J50" s="62"/>
      <c r="K50" s="62"/>
    </row>
    <row r="51" spans="1:11" ht="25.2" customHeight="1" x14ac:dyDescent="0.3">
      <c r="A51" s="79"/>
      <c r="B51" s="91">
        <f t="shared" si="0"/>
        <v>46</v>
      </c>
      <c r="C51" s="126" t="s">
        <v>166</v>
      </c>
      <c r="D51" s="133"/>
      <c r="E51" s="119"/>
      <c r="F51" s="113" t="s">
        <v>191</v>
      </c>
      <c r="G51" s="113"/>
      <c r="H51" s="113"/>
      <c r="I51" s="114"/>
      <c r="J51" s="52"/>
      <c r="K51" s="52"/>
    </row>
    <row r="52" spans="1:11" ht="25.2" customHeight="1" x14ac:dyDescent="0.3">
      <c r="A52" s="79"/>
      <c r="B52" s="84">
        <f>B51+1</f>
        <v>47</v>
      </c>
      <c r="C52" s="85" t="s">
        <v>153</v>
      </c>
      <c r="D52" s="86"/>
      <c r="E52" s="120"/>
      <c r="F52" s="121"/>
      <c r="G52" s="121"/>
      <c r="H52" s="121"/>
      <c r="I52" s="121"/>
      <c r="J52" s="54"/>
      <c r="K52" s="54"/>
    </row>
    <row r="53" spans="1:11" ht="25.2" customHeight="1" x14ac:dyDescent="0.3">
      <c r="A53" s="79"/>
      <c r="B53" s="84">
        <f t="shared" si="0"/>
        <v>48</v>
      </c>
      <c r="C53" s="85" t="s">
        <v>68</v>
      </c>
      <c r="D53" s="86"/>
      <c r="E53" s="120"/>
      <c r="F53" s="121"/>
      <c r="G53" s="121"/>
      <c r="H53" s="121"/>
      <c r="I53" s="121"/>
      <c r="J53" s="54"/>
      <c r="K53" s="54"/>
    </row>
    <row r="54" spans="1:11" ht="25.2" customHeight="1" x14ac:dyDescent="0.3">
      <c r="A54" s="79"/>
      <c r="B54" s="84">
        <f t="shared" si="0"/>
        <v>49</v>
      </c>
      <c r="C54" s="85" t="s">
        <v>165</v>
      </c>
      <c r="D54" s="86"/>
      <c r="E54" s="120"/>
      <c r="F54" s="121"/>
      <c r="G54" s="121"/>
      <c r="H54" s="121"/>
      <c r="I54" s="121"/>
      <c r="J54" s="54"/>
      <c r="K54" s="54"/>
    </row>
    <row r="55" spans="1:11" ht="25.2" customHeight="1" x14ac:dyDescent="0.3">
      <c r="A55" s="79"/>
      <c r="B55" s="91">
        <f t="shared" si="0"/>
        <v>50</v>
      </c>
      <c r="C55" s="126" t="s">
        <v>101</v>
      </c>
      <c r="D55" s="133"/>
      <c r="E55" s="119"/>
      <c r="F55" s="122">
        <f>(47)*(48)*(49)</f>
        <v>110544</v>
      </c>
      <c r="G55" s="122"/>
      <c r="H55" s="122"/>
      <c r="I55" s="114"/>
      <c r="J55" s="52"/>
      <c r="K55" s="52"/>
    </row>
    <row r="56" spans="1:11" ht="25.2" customHeight="1" x14ac:dyDescent="0.3">
      <c r="A56" s="79"/>
      <c r="B56" s="98">
        <f t="shared" si="0"/>
        <v>51</v>
      </c>
      <c r="C56" s="127" t="s">
        <v>164</v>
      </c>
      <c r="D56" s="134"/>
      <c r="E56" s="123"/>
      <c r="F56" s="124" t="s">
        <v>192</v>
      </c>
      <c r="G56" s="124"/>
      <c r="H56" s="124"/>
      <c r="I56" s="125"/>
      <c r="J56" s="52"/>
      <c r="K56" s="52"/>
    </row>
    <row r="57" spans="1:11" s="76" customFormat="1" ht="18" customHeight="1" x14ac:dyDescent="0.35">
      <c r="A57" s="79"/>
      <c r="B57" s="107">
        <f t="shared" si="0"/>
        <v>52</v>
      </c>
      <c r="C57" s="108" t="s">
        <v>170</v>
      </c>
      <c r="D57" s="108"/>
      <c r="E57" s="108"/>
      <c r="F57" s="109" t="s">
        <v>171</v>
      </c>
      <c r="G57" s="109"/>
      <c r="H57" s="109"/>
      <c r="I57" s="107"/>
      <c r="J57" s="74"/>
      <c r="K57" s="75"/>
    </row>
    <row r="58" spans="1:11" s="76" customFormat="1" ht="18" customHeight="1" x14ac:dyDescent="0.35">
      <c r="A58" s="79"/>
      <c r="B58" s="107">
        <f t="shared" si="0"/>
        <v>53</v>
      </c>
      <c r="C58" s="108" t="s">
        <v>168</v>
      </c>
      <c r="D58" s="108"/>
      <c r="E58" s="108"/>
      <c r="F58" s="109" t="s">
        <v>193</v>
      </c>
      <c r="G58" s="109"/>
      <c r="H58" s="109"/>
      <c r="I58" s="107"/>
      <c r="J58" s="74"/>
      <c r="K58" s="75">
        <f>K54*K56</f>
        <v>0</v>
      </c>
    </row>
    <row r="59" spans="1:11" s="76" customFormat="1" ht="18" customHeight="1" x14ac:dyDescent="0.35">
      <c r="A59" s="79"/>
      <c r="B59" s="102">
        <f t="shared" si="0"/>
        <v>54</v>
      </c>
      <c r="C59" s="103" t="s">
        <v>169</v>
      </c>
      <c r="D59" s="103"/>
      <c r="E59" s="103"/>
      <c r="F59" s="104" t="s">
        <v>194</v>
      </c>
      <c r="G59" s="104"/>
      <c r="H59" s="104"/>
      <c r="I59" s="102"/>
      <c r="J59" s="77"/>
      <c r="K59" s="78"/>
    </row>
  </sheetData>
  <pageMargins left="0.7" right="0.7" top="0.75" bottom="0.75" header="0.3" footer="0.3"/>
  <pageSetup paperSize="9" scale="56" orientation="landscape" r:id="rId1"/>
  <rowBreaks count="1" manualBreakCount="1"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Q40"/>
  <sheetViews>
    <sheetView topLeftCell="A2" zoomScale="90" zoomScaleNormal="90" workbookViewId="0">
      <selection activeCell="L26" sqref="L26"/>
    </sheetView>
  </sheetViews>
  <sheetFormatPr defaultColWidth="9.109375" defaultRowHeight="13.2" x14ac:dyDescent="0.25"/>
  <cols>
    <col min="1" max="1" width="3.6640625" style="139" customWidth="1"/>
    <col min="2" max="2" width="42" style="139" customWidth="1"/>
    <col min="3" max="3" width="110.33203125" style="139" hidden="1" customWidth="1"/>
    <col min="4" max="4" width="11.33203125" style="139" customWidth="1"/>
    <col min="5" max="5" width="6.88671875" style="139" customWidth="1"/>
    <col min="6" max="6" width="38" style="139" bestFit="1" customWidth="1"/>
    <col min="7" max="7" width="11.109375" style="139" hidden="1" customWidth="1"/>
    <col min="8" max="8" width="13.33203125" style="139" customWidth="1"/>
    <col min="9" max="9" width="6.44140625" style="139" customWidth="1"/>
    <col min="10" max="10" width="3.44140625" style="139" customWidth="1"/>
    <col min="11" max="11" width="5.88671875" style="139" bestFit="1" customWidth="1"/>
    <col min="12" max="12" width="20" style="139" customWidth="1"/>
    <col min="13" max="15" width="12.88671875" style="139" customWidth="1"/>
    <col min="16" max="16" width="8.6640625" style="139" bestFit="1" customWidth="1"/>
    <col min="17" max="17" width="11" style="139" bestFit="1" customWidth="1"/>
    <col min="18" max="18" width="12.109375" style="139" bestFit="1" customWidth="1"/>
    <col min="19" max="16384" width="9.109375" style="139"/>
  </cols>
  <sheetData>
    <row r="2" spans="2:15" ht="17.399999999999999" x14ac:dyDescent="0.3">
      <c r="B2" s="136" t="s">
        <v>86</v>
      </c>
      <c r="C2" s="137"/>
      <c r="D2" s="137"/>
      <c r="E2" s="137"/>
      <c r="F2" s="138">
        <v>42156</v>
      </c>
      <c r="G2" s="137"/>
      <c r="H2" s="137"/>
      <c r="I2" s="137"/>
    </row>
    <row r="3" spans="2:15" x14ac:dyDescent="0.25">
      <c r="B3" s="140" t="s">
        <v>97</v>
      </c>
      <c r="C3" s="140" t="s">
        <v>0</v>
      </c>
      <c r="D3" s="141">
        <f>19*1.6</f>
        <v>30.400000000000002</v>
      </c>
      <c r="E3" s="142" t="s">
        <v>82</v>
      </c>
      <c r="F3" s="143"/>
      <c r="G3" s="143"/>
      <c r="H3" s="144"/>
      <c r="I3" s="142"/>
      <c r="N3" s="145"/>
      <c r="O3" s="145"/>
    </row>
    <row r="4" spans="2:15" ht="14.25" customHeight="1" x14ac:dyDescent="0.25">
      <c r="B4" s="146"/>
      <c r="C4" s="146"/>
      <c r="D4" s="147" t="s">
        <v>120</v>
      </c>
      <c r="E4" s="148"/>
      <c r="F4" s="146"/>
      <c r="G4" s="146"/>
      <c r="H4" s="149" t="str">
        <f>D4</f>
        <v>Cedi</v>
      </c>
      <c r="I4" s="150"/>
      <c r="N4" s="145"/>
      <c r="O4" s="145"/>
    </row>
    <row r="5" spans="2:15" x14ac:dyDescent="0.25">
      <c r="B5" s="151"/>
      <c r="C5" s="151"/>
      <c r="D5" s="152" t="s">
        <v>1</v>
      </c>
      <c r="E5" s="153"/>
      <c r="F5" s="154"/>
      <c r="G5" s="154"/>
      <c r="H5" s="153" t="s">
        <v>2</v>
      </c>
      <c r="I5" s="155"/>
      <c r="N5" s="145"/>
      <c r="O5" s="145"/>
    </row>
    <row r="6" spans="2:15" x14ac:dyDescent="0.25">
      <c r="B6" s="151" t="s">
        <v>105</v>
      </c>
      <c r="C6" s="156" t="s">
        <v>3</v>
      </c>
      <c r="D6" s="157">
        <f>D9+D8+D7</f>
        <v>2525</v>
      </c>
      <c r="E6" s="158">
        <f>D6/$D$6</f>
        <v>1</v>
      </c>
      <c r="F6" s="151" t="s">
        <v>4</v>
      </c>
      <c r="G6" s="156" t="s">
        <v>5</v>
      </c>
      <c r="H6" s="159">
        <f>D6*H29</f>
        <v>209929.00499999998</v>
      </c>
      <c r="I6" s="160"/>
      <c r="N6" s="145"/>
      <c r="O6" s="145"/>
    </row>
    <row r="7" spans="2:15" x14ac:dyDescent="0.25">
      <c r="B7" s="151" t="s">
        <v>104</v>
      </c>
      <c r="C7" s="156" t="s">
        <v>6</v>
      </c>
      <c r="D7" s="161">
        <f>20/3/30.4*1000*ROE</f>
        <v>0</v>
      </c>
      <c r="E7" s="158">
        <f>D7/$D$6</f>
        <v>0</v>
      </c>
      <c r="F7" s="151" t="s">
        <v>7</v>
      </c>
      <c r="G7" s="156" t="s">
        <v>8</v>
      </c>
      <c r="H7" s="162">
        <f>(D7+D8+D27)*H29+H27</f>
        <v>253802.76590499998</v>
      </c>
      <c r="I7" s="160"/>
      <c r="N7" s="145"/>
      <c r="O7" s="145"/>
    </row>
    <row r="8" spans="2:15" x14ac:dyDescent="0.25">
      <c r="B8" s="151" t="s">
        <v>119</v>
      </c>
      <c r="C8" s="156" t="s">
        <v>9</v>
      </c>
      <c r="D8" s="163">
        <v>25</v>
      </c>
      <c r="E8" s="158">
        <f>D8/$D$6</f>
        <v>9.9009900990099011E-3</v>
      </c>
      <c r="F8" s="164" t="s">
        <v>10</v>
      </c>
      <c r="G8" s="165" t="s">
        <v>11</v>
      </c>
      <c r="H8" s="166">
        <f>H6-H7</f>
        <v>-43873.760905000003</v>
      </c>
      <c r="I8" s="160"/>
      <c r="N8" s="145"/>
      <c r="O8" s="145"/>
    </row>
    <row r="9" spans="2:15" x14ac:dyDescent="0.25">
      <c r="B9" s="164" t="s">
        <v>12</v>
      </c>
      <c r="C9" s="165" t="s">
        <v>13</v>
      </c>
      <c r="D9" s="167">
        <f>4/1.6*1000</f>
        <v>2500</v>
      </c>
      <c r="E9" s="158">
        <f>D9/$D$6</f>
        <v>0.99009900990099009</v>
      </c>
      <c r="F9" s="168" t="s">
        <v>14</v>
      </c>
      <c r="G9" s="169" t="s">
        <v>15</v>
      </c>
      <c r="H9" s="170">
        <f>H8/H6</f>
        <v>-0.20899332564835435</v>
      </c>
      <c r="I9" s="171"/>
      <c r="N9" s="145"/>
      <c r="O9" s="145"/>
    </row>
    <row r="10" spans="2:15" x14ac:dyDescent="0.25">
      <c r="B10" s="146"/>
      <c r="C10" s="146"/>
      <c r="D10" s="172"/>
      <c r="E10" s="148"/>
      <c r="F10" s="151"/>
      <c r="G10" s="146"/>
      <c r="H10" s="148"/>
      <c r="I10" s="150"/>
      <c r="N10" s="145"/>
      <c r="O10" s="145"/>
    </row>
    <row r="11" spans="2:15" x14ac:dyDescent="0.25">
      <c r="B11" s="151" t="s">
        <v>94</v>
      </c>
      <c r="C11" s="156" t="s">
        <v>16</v>
      </c>
      <c r="D11" s="173">
        <f>30/110*1000</f>
        <v>272.72727272727269</v>
      </c>
      <c r="E11" s="162"/>
      <c r="F11" s="151" t="s">
        <v>102</v>
      </c>
      <c r="G11" s="156" t="s">
        <v>17</v>
      </c>
      <c r="H11" s="174">
        <f>206*30.4/1000*D9</f>
        <v>15655.999999999998</v>
      </c>
      <c r="I11" s="160"/>
      <c r="N11" s="145"/>
      <c r="O11" s="145"/>
    </row>
    <row r="12" spans="2:15" x14ac:dyDescent="0.25">
      <c r="B12" s="151" t="s">
        <v>18</v>
      </c>
      <c r="C12" s="156" t="s">
        <v>19</v>
      </c>
      <c r="D12" s="175">
        <f>'PR Gari'!D10</f>
        <v>4.1279669762641902</v>
      </c>
      <c r="E12" s="176"/>
      <c r="F12" s="151" t="s">
        <v>20</v>
      </c>
      <c r="G12" s="156" t="s">
        <v>21</v>
      </c>
      <c r="H12" s="177">
        <v>0.02</v>
      </c>
      <c r="I12" s="160"/>
      <c r="N12" s="145"/>
      <c r="O12" s="145"/>
    </row>
    <row r="13" spans="2:15" x14ac:dyDescent="0.25">
      <c r="B13" s="151" t="s">
        <v>22</v>
      </c>
      <c r="C13" s="156" t="s">
        <v>23</v>
      </c>
      <c r="D13" s="159">
        <f>D11*D12</f>
        <v>1125.8091753447791</v>
      </c>
      <c r="E13" s="178">
        <f>D13/$D$27</f>
        <v>0.80508413448723148</v>
      </c>
      <c r="F13" s="164" t="s">
        <v>24</v>
      </c>
      <c r="G13" s="165" t="s">
        <v>24</v>
      </c>
      <c r="H13" s="179">
        <f>H11*H12</f>
        <v>313.11999999999995</v>
      </c>
      <c r="I13" s="180">
        <f>H13/$H$24</f>
        <v>2.3114778398725792E-3</v>
      </c>
      <c r="N13" s="145"/>
      <c r="O13" s="145"/>
    </row>
    <row r="14" spans="2:15" x14ac:dyDescent="0.25">
      <c r="B14" s="151" t="s">
        <v>25</v>
      </c>
      <c r="C14" s="156" t="s">
        <v>26</v>
      </c>
      <c r="D14" s="181">
        <f>0*ROE</f>
        <v>0</v>
      </c>
      <c r="E14" s="178">
        <f>D14/$D$27</f>
        <v>0</v>
      </c>
      <c r="F14" s="151"/>
      <c r="G14" s="156"/>
      <c r="H14" s="182"/>
      <c r="I14" s="180"/>
      <c r="N14" s="145"/>
      <c r="O14" s="145"/>
    </row>
    <row r="15" spans="2:15" x14ac:dyDescent="0.25">
      <c r="B15" s="164" t="s">
        <v>27</v>
      </c>
      <c r="C15" s="164" t="s">
        <v>27</v>
      </c>
      <c r="D15" s="183">
        <f>D13+D14</f>
        <v>1125.8091753447791</v>
      </c>
      <c r="E15" s="178">
        <f>D15/$D$27</f>
        <v>0.80508413448723148</v>
      </c>
      <c r="F15" s="151" t="s">
        <v>100</v>
      </c>
      <c r="G15" s="156" t="s">
        <v>28</v>
      </c>
      <c r="H15" s="174">
        <f>7*900/3</f>
        <v>2100</v>
      </c>
      <c r="I15" s="180"/>
      <c r="N15" s="145"/>
      <c r="O15" s="145"/>
    </row>
    <row r="16" spans="2:15" x14ac:dyDescent="0.25">
      <c r="B16" s="151"/>
      <c r="C16" s="151"/>
      <c r="D16" s="159"/>
      <c r="E16" s="182"/>
      <c r="F16" s="151" t="s">
        <v>29</v>
      </c>
      <c r="G16" s="156" t="s">
        <v>30</v>
      </c>
      <c r="H16" s="177">
        <v>0</v>
      </c>
      <c r="I16" s="160"/>
      <c r="N16" s="145"/>
      <c r="O16" s="145"/>
    </row>
    <row r="17" spans="2:17" x14ac:dyDescent="0.25">
      <c r="B17" s="151" t="s">
        <v>103</v>
      </c>
      <c r="C17" s="151" t="s">
        <v>31</v>
      </c>
      <c r="D17" s="163">
        <f>(30+30)/10/110*1000</f>
        <v>54.54545454545454</v>
      </c>
      <c r="E17" s="184"/>
      <c r="F17" s="164" t="s">
        <v>32</v>
      </c>
      <c r="G17" s="165" t="s">
        <v>32</v>
      </c>
      <c r="H17" s="179">
        <f>H15*H16</f>
        <v>0</v>
      </c>
      <c r="I17" s="180">
        <f>H17/$H$24</f>
        <v>0</v>
      </c>
      <c r="N17" s="145"/>
      <c r="O17" s="145"/>
    </row>
    <row r="18" spans="2:17" x14ac:dyDescent="0.25">
      <c r="B18" s="151" t="s">
        <v>95</v>
      </c>
      <c r="C18" s="151" t="s">
        <v>33</v>
      </c>
      <c r="D18" s="163">
        <f>100/((10*110*2)/4.13)*1000</f>
        <v>187.72727272727272</v>
      </c>
      <c r="E18" s="182"/>
      <c r="F18" s="151"/>
      <c r="G18" s="151"/>
      <c r="H18" s="182"/>
      <c r="I18" s="160"/>
      <c r="N18" s="145"/>
      <c r="O18" s="145"/>
    </row>
    <row r="19" spans="2:17" x14ac:dyDescent="0.25">
      <c r="B19" s="164" t="s">
        <v>34</v>
      </c>
      <c r="C19" s="164" t="s">
        <v>34</v>
      </c>
      <c r="D19" s="183">
        <f>D17+D18</f>
        <v>242.27272727272725</v>
      </c>
      <c r="E19" s="178">
        <f>D19/$D$27</f>
        <v>0.17325309938648409</v>
      </c>
      <c r="F19" s="151" t="s">
        <v>35</v>
      </c>
      <c r="G19" s="151" t="s">
        <v>36</v>
      </c>
      <c r="H19" s="185">
        <v>25</v>
      </c>
      <c r="I19" s="180"/>
      <c r="N19" s="145"/>
      <c r="O19" s="145"/>
    </row>
    <row r="20" spans="2:17" x14ac:dyDescent="0.25">
      <c r="B20" s="164"/>
      <c r="C20" s="164"/>
      <c r="D20" s="183"/>
      <c r="E20" s="178"/>
      <c r="F20" s="151" t="s">
        <v>37</v>
      </c>
      <c r="G20" s="156" t="s">
        <v>38</v>
      </c>
      <c r="H20" s="185">
        <f>H19*(30*15*12)</f>
        <v>135000</v>
      </c>
      <c r="I20" s="180">
        <f>H20/$H$24</f>
        <v>0.99658120970489983</v>
      </c>
      <c r="N20" s="145"/>
      <c r="O20" s="145"/>
    </row>
    <row r="21" spans="2:17" x14ac:dyDescent="0.25">
      <c r="B21" s="151"/>
      <c r="C21" s="151"/>
      <c r="D21" s="159"/>
      <c r="E21" s="182"/>
      <c r="F21" s="151" t="s">
        <v>99</v>
      </c>
      <c r="G21" s="156" t="s">
        <v>39</v>
      </c>
      <c r="H21" s="185">
        <f>(1*25*12+150)/3</f>
        <v>150</v>
      </c>
      <c r="I21" s="180">
        <f>H21/$H$24</f>
        <v>1.1073124552276664E-3</v>
      </c>
      <c r="N21" s="145"/>
      <c r="O21" s="145"/>
    </row>
    <row r="22" spans="2:17" x14ac:dyDescent="0.25">
      <c r="B22" s="151" t="s">
        <v>96</v>
      </c>
      <c r="C22" s="151" t="s">
        <v>40</v>
      </c>
      <c r="D22" s="186">
        <v>0.5</v>
      </c>
      <c r="E22" s="182"/>
      <c r="F22" s="164" t="s">
        <v>41</v>
      </c>
      <c r="G22" s="165" t="s">
        <v>41</v>
      </c>
      <c r="H22" s="183">
        <f>SUM(H20:H21)</f>
        <v>135150</v>
      </c>
      <c r="I22" s="180">
        <f>H22/$H$24</f>
        <v>0.99768852216012749</v>
      </c>
      <c r="N22" s="145"/>
      <c r="O22" s="145"/>
    </row>
    <row r="23" spans="2:17" x14ac:dyDescent="0.25">
      <c r="B23" s="151" t="s">
        <v>110</v>
      </c>
      <c r="C23" s="151" t="s">
        <v>42</v>
      </c>
      <c r="D23" s="163">
        <f>1000/(19*1.6)</f>
        <v>32.89473684210526</v>
      </c>
      <c r="E23" s="182"/>
      <c r="F23" s="151"/>
      <c r="G23" s="151"/>
      <c r="H23" s="182"/>
      <c r="I23" s="160"/>
      <c r="N23" s="145"/>
      <c r="O23" s="145"/>
    </row>
    <row r="24" spans="2:17" x14ac:dyDescent="0.25">
      <c r="B24" s="164" t="s">
        <v>43</v>
      </c>
      <c r="C24" s="164" t="s">
        <v>43</v>
      </c>
      <c r="D24" s="187">
        <f>D22*D23</f>
        <v>16.44736842105263</v>
      </c>
      <c r="E24" s="178">
        <f>D24/$D$27</f>
        <v>1.1761776027274398E-2</v>
      </c>
      <c r="F24" s="164" t="s">
        <v>44</v>
      </c>
      <c r="G24" s="165" t="s">
        <v>44</v>
      </c>
      <c r="H24" s="183">
        <f>H13+H17+H22</f>
        <v>135463.12</v>
      </c>
      <c r="I24" s="180">
        <f>H24/$H$24</f>
        <v>1</v>
      </c>
      <c r="N24" s="145"/>
      <c r="O24" s="145"/>
    </row>
    <row r="25" spans="2:17" x14ac:dyDescent="0.25">
      <c r="B25" s="151"/>
      <c r="C25" s="151"/>
      <c r="D25" s="159"/>
      <c r="E25" s="182"/>
      <c r="F25" s="151"/>
      <c r="G25" s="165"/>
      <c r="H25" s="182"/>
      <c r="I25" s="160"/>
      <c r="N25" s="145"/>
      <c r="O25" s="145"/>
      <c r="Q25" s="188"/>
    </row>
    <row r="26" spans="2:17" x14ac:dyDescent="0.25">
      <c r="B26" s="151" t="s">
        <v>98</v>
      </c>
      <c r="C26" s="151" t="s">
        <v>45</v>
      </c>
      <c r="D26" s="189">
        <f>(D15+D19+D24)*E26</f>
        <v>13.845292710385591</v>
      </c>
      <c r="E26" s="190">
        <v>0.01</v>
      </c>
      <c r="F26" s="151" t="s">
        <v>46</v>
      </c>
      <c r="G26" s="156" t="s">
        <v>47</v>
      </c>
      <c r="H26" s="191">
        <v>1</v>
      </c>
      <c r="I26" s="160"/>
      <c r="N26" s="145"/>
      <c r="O26" s="145"/>
      <c r="Q26" s="188"/>
    </row>
    <row r="27" spans="2:17" x14ac:dyDescent="0.25">
      <c r="B27" s="192" t="s">
        <v>48</v>
      </c>
      <c r="C27" s="193" t="s">
        <v>48</v>
      </c>
      <c r="D27" s="194">
        <f>(D15+D19+D24+D26)</f>
        <v>1398.3745637489446</v>
      </c>
      <c r="E27" s="195">
        <f>D27/$D$27</f>
        <v>1</v>
      </c>
      <c r="F27" s="164" t="s">
        <v>49</v>
      </c>
      <c r="G27" s="196" t="s">
        <v>50</v>
      </c>
      <c r="H27" s="197">
        <f>H24*H26</f>
        <v>135463.12</v>
      </c>
      <c r="I27" s="198"/>
      <c r="N27" s="145"/>
      <c r="O27" s="145"/>
    </row>
    <row r="28" spans="2:17" x14ac:dyDescent="0.25">
      <c r="B28" s="146"/>
      <c r="C28" s="146"/>
      <c r="D28" s="172"/>
      <c r="E28" s="150"/>
      <c r="F28" s="146"/>
      <c r="G28" s="146"/>
      <c r="H28" s="148"/>
      <c r="I28" s="199"/>
      <c r="N28" s="145"/>
      <c r="O28" s="145"/>
    </row>
    <row r="29" spans="2:17" x14ac:dyDescent="0.25">
      <c r="B29" s="164" t="s">
        <v>51</v>
      </c>
      <c r="C29" s="165" t="s">
        <v>52</v>
      </c>
      <c r="D29" s="166">
        <f>D9-D27</f>
        <v>1101.6254362510554</v>
      </c>
      <c r="E29" s="160"/>
      <c r="F29" s="151" t="s">
        <v>53</v>
      </c>
      <c r="G29" s="156" t="s">
        <v>54</v>
      </c>
      <c r="H29" s="173">
        <f>2*3300/1000*52/D12</f>
        <v>83.140199999999993</v>
      </c>
      <c r="I29" s="180"/>
      <c r="N29" s="145"/>
      <c r="O29" s="145"/>
    </row>
    <row r="30" spans="2:17" x14ac:dyDescent="0.25">
      <c r="B30" s="151" t="s">
        <v>55</v>
      </c>
      <c r="C30" s="156" t="s">
        <v>56</v>
      </c>
      <c r="D30" s="200">
        <f>D29/D9</f>
        <v>0.44065017450042215</v>
      </c>
      <c r="E30" s="160"/>
      <c r="F30" s="164" t="s">
        <v>57</v>
      </c>
      <c r="G30" s="164" t="s">
        <v>57</v>
      </c>
      <c r="H30" s="166">
        <f>D29*H29</f>
        <v>91589.359094999993</v>
      </c>
      <c r="I30" s="180"/>
      <c r="N30" s="145"/>
      <c r="O30" s="145"/>
    </row>
    <row r="31" spans="2:17" x14ac:dyDescent="0.25">
      <c r="B31" s="151"/>
      <c r="C31" s="151"/>
      <c r="D31" s="201"/>
      <c r="E31" s="160"/>
      <c r="F31" s="164"/>
      <c r="G31" s="156"/>
      <c r="H31" s="183"/>
      <c r="I31" s="180"/>
      <c r="N31" s="145"/>
      <c r="O31" s="145"/>
    </row>
    <row r="32" spans="2:17" x14ac:dyDescent="0.25">
      <c r="B32" s="164" t="s">
        <v>48</v>
      </c>
      <c r="C32" s="164" t="s">
        <v>48</v>
      </c>
      <c r="D32" s="183">
        <f>D27</f>
        <v>1398.3745637489446</v>
      </c>
      <c r="E32" s="180">
        <f>D32/D36</f>
        <v>0.4618591012523684</v>
      </c>
      <c r="F32" s="164" t="s">
        <v>58</v>
      </c>
      <c r="G32" s="165" t="s">
        <v>59</v>
      </c>
      <c r="H32" s="166">
        <f>H27/D29</f>
        <v>122.96658695626611</v>
      </c>
      <c r="I32" s="180"/>
      <c r="N32" s="145"/>
      <c r="O32" s="145"/>
    </row>
    <row r="33" spans="2:15" x14ac:dyDescent="0.25">
      <c r="B33" s="202"/>
      <c r="C33" s="202"/>
      <c r="D33" s="182"/>
      <c r="E33" s="203"/>
      <c r="F33" s="151" t="s">
        <v>60</v>
      </c>
      <c r="G33" s="156" t="s">
        <v>61</v>
      </c>
      <c r="H33" s="166">
        <f>H32*D12</f>
        <v>507.60201013938541</v>
      </c>
      <c r="I33" s="180"/>
      <c r="N33" s="145"/>
      <c r="O33" s="145"/>
    </row>
    <row r="34" spans="2:15" x14ac:dyDescent="0.25">
      <c r="B34" s="164" t="s">
        <v>62</v>
      </c>
      <c r="C34" s="164" t="s">
        <v>63</v>
      </c>
      <c r="D34" s="183">
        <f>H27/H29</f>
        <v>1629.3335835131502</v>
      </c>
      <c r="E34" s="180">
        <f>D34/$D$36</f>
        <v>0.5381408987476316</v>
      </c>
      <c r="F34" s="151"/>
      <c r="G34" s="151"/>
      <c r="H34" s="182"/>
      <c r="I34" s="180"/>
      <c r="N34" s="145"/>
      <c r="O34" s="145"/>
    </row>
    <row r="35" spans="2:15" x14ac:dyDescent="0.25">
      <c r="B35" s="151"/>
      <c r="C35" s="151"/>
      <c r="D35" s="159"/>
      <c r="E35" s="160"/>
      <c r="F35" s="151" t="s">
        <v>64</v>
      </c>
      <c r="G35" s="156" t="s">
        <v>65</v>
      </c>
      <c r="H35" s="204">
        <f>3.3/4.13/10</f>
        <v>7.990314769975787E-2</v>
      </c>
      <c r="I35" s="160"/>
      <c r="N35" s="145"/>
      <c r="O35" s="145"/>
    </row>
    <row r="36" spans="2:15" x14ac:dyDescent="0.25">
      <c r="B36" s="164" t="s">
        <v>66</v>
      </c>
      <c r="C36" s="164" t="s">
        <v>67</v>
      </c>
      <c r="D36" s="183">
        <f>D27+D34</f>
        <v>3027.7081472620948</v>
      </c>
      <c r="E36" s="180">
        <f>D36/$D$36</f>
        <v>1</v>
      </c>
      <c r="F36" s="151" t="s">
        <v>68</v>
      </c>
      <c r="G36" s="156" t="s">
        <v>69</v>
      </c>
      <c r="H36" s="205">
        <v>10</v>
      </c>
      <c r="I36" s="180"/>
      <c r="N36" s="145"/>
      <c r="O36" s="145"/>
    </row>
    <row r="37" spans="2:15" x14ac:dyDescent="0.25">
      <c r="B37" s="151"/>
      <c r="C37" s="151"/>
      <c r="D37" s="159"/>
      <c r="E37" s="160"/>
      <c r="F37" s="151" t="s">
        <v>73</v>
      </c>
      <c r="G37" s="156" t="s">
        <v>70</v>
      </c>
      <c r="H37" s="173">
        <v>300</v>
      </c>
      <c r="I37" s="160"/>
      <c r="N37" s="145"/>
      <c r="O37" s="145"/>
    </row>
    <row r="38" spans="2:15" x14ac:dyDescent="0.25">
      <c r="B38" s="164" t="s">
        <v>71</v>
      </c>
      <c r="C38" s="164" t="s">
        <v>72</v>
      </c>
      <c r="D38" s="166">
        <f>D9-D36</f>
        <v>-527.70814726209483</v>
      </c>
      <c r="E38" s="180"/>
      <c r="F38" s="151" t="s">
        <v>101</v>
      </c>
      <c r="G38" s="165" t="s">
        <v>74</v>
      </c>
      <c r="H38" s="206">
        <f>H35*H36*H37</f>
        <v>239.70944309927361</v>
      </c>
      <c r="I38" s="180"/>
    </row>
    <row r="39" spans="2:15" x14ac:dyDescent="0.25">
      <c r="B39" s="168"/>
      <c r="C39" s="168"/>
      <c r="D39" s="207"/>
      <c r="E39" s="171"/>
      <c r="F39" s="192" t="s">
        <v>75</v>
      </c>
      <c r="G39" s="169" t="s">
        <v>76</v>
      </c>
      <c r="H39" s="208">
        <f>H29/H38</f>
        <v>0.34683739999999996</v>
      </c>
      <c r="I39" s="171"/>
    </row>
    <row r="40" spans="2:15" x14ac:dyDescent="0.25">
      <c r="B40" s="209" t="s">
        <v>218</v>
      </c>
      <c r="C40" s="210" t="s">
        <v>219</v>
      </c>
      <c r="D40" s="207"/>
      <c r="E40" s="207"/>
      <c r="F40" s="207"/>
      <c r="G40" s="207"/>
      <c r="H40" s="207"/>
      <c r="I40" s="171"/>
    </row>
  </sheetData>
  <sheetProtection formatCells="0" formatColumns="0" formatRows="0" insertColumns="0" insertRows="0"/>
  <conditionalFormatting sqref="D30">
    <cfRule type="cellIs" dxfId="10" priority="9" stopIfTrue="1" operator="between">
      <formula>0.2</formula>
      <formula>0</formula>
    </cfRule>
    <cfRule type="cellIs" dxfId="9" priority="10" stopIfTrue="1" operator="between">
      <formula>0.2</formula>
      <formula>0.3</formula>
    </cfRule>
    <cfRule type="cellIs" dxfId="8" priority="11" stopIfTrue="1" operator="greaterThanOrEqual">
      <formula>0.3</formula>
    </cfRule>
  </conditionalFormatting>
  <conditionalFormatting sqref="D30">
    <cfRule type="cellIs" dxfId="7" priority="8" stopIfTrue="1" operator="lessThan">
      <formula>0</formula>
    </cfRule>
  </conditionalFormatting>
  <conditionalFormatting sqref="H39">
    <cfRule type="cellIs" dxfId="6" priority="5" operator="greaterThanOrEqual">
      <formula>0.75</formula>
    </cfRule>
    <cfRule type="cellIs" dxfId="5" priority="6" operator="between">
      <formula>0.49999999999999</formula>
      <formula>0.75</formula>
    </cfRule>
    <cfRule type="cellIs" dxfId="4" priority="7" operator="lessThan">
      <formula>0.5</formula>
    </cfRule>
  </conditionalFormatting>
  <conditionalFormatting sqref="H9">
    <cfRule type="cellIs" dxfId="3" priority="2" stopIfTrue="1" operator="between">
      <formula>0</formula>
      <formula>0.05</formula>
    </cfRule>
    <cfRule type="cellIs" dxfId="2" priority="3" stopIfTrue="1" operator="between">
      <formula>0.05</formula>
      <formula>0.1</formula>
    </cfRule>
    <cfRule type="cellIs" dxfId="1" priority="4" stopIfTrue="1" operator="greaterThanOrEqual">
      <formula>0.1</formula>
    </cfRule>
  </conditionalFormatting>
  <conditionalFormatting sqref="H9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portrait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17"/>
  <sheetViews>
    <sheetView zoomScale="150" zoomScaleNormal="150" workbookViewId="0">
      <selection activeCell="J18" sqref="J18"/>
    </sheetView>
  </sheetViews>
  <sheetFormatPr defaultColWidth="9.109375" defaultRowHeight="13.2" x14ac:dyDescent="0.25"/>
  <cols>
    <col min="1" max="1" width="2.5546875" style="39" customWidth="1"/>
    <col min="2" max="2" width="17" style="39" customWidth="1"/>
    <col min="3" max="3" width="7.33203125" style="39" customWidth="1"/>
    <col min="4" max="4" width="9.44140625" style="39" customWidth="1"/>
    <col min="5" max="5" width="9.6640625" style="39" customWidth="1"/>
    <col min="6" max="6" width="8" style="39" customWidth="1"/>
    <col min="7" max="8" width="7" style="39" customWidth="1"/>
    <col min="9" max="9" width="7.5546875" style="39" customWidth="1"/>
    <col min="10" max="10" width="12.88671875" style="39" customWidth="1"/>
    <col min="11" max="16384" width="9.109375" style="39"/>
  </cols>
  <sheetData>
    <row r="2" spans="2:10" ht="13.8" thickBot="1" x14ac:dyDescent="0.3">
      <c r="B2" s="42" t="s">
        <v>87</v>
      </c>
      <c r="C2" s="41"/>
      <c r="D2" s="42" t="s">
        <v>122</v>
      </c>
      <c r="E2" s="41"/>
      <c r="F2" s="41"/>
      <c r="G2" s="41"/>
      <c r="H2" s="41"/>
      <c r="I2" s="41"/>
      <c r="J2" s="41"/>
    </row>
    <row r="3" spans="2:10" ht="13.8" thickBot="1" x14ac:dyDescent="0.3">
      <c r="B3" s="6"/>
      <c r="C3" s="19"/>
      <c r="D3" s="18"/>
      <c r="E3" s="17" t="s">
        <v>93</v>
      </c>
      <c r="F3" s="16" t="s">
        <v>85</v>
      </c>
      <c r="G3" s="15" t="s">
        <v>82</v>
      </c>
      <c r="H3" s="16" t="s">
        <v>84</v>
      </c>
      <c r="I3" s="15" t="s">
        <v>82</v>
      </c>
      <c r="J3" s="14" t="s">
        <v>83</v>
      </c>
    </row>
    <row r="4" spans="2:10" x14ac:dyDescent="0.25">
      <c r="B4" s="11" t="s">
        <v>88</v>
      </c>
      <c r="C4" s="13"/>
      <c r="D4" s="5">
        <v>1000</v>
      </c>
      <c r="E4" s="13" t="s">
        <v>82</v>
      </c>
      <c r="F4" s="20">
        <v>0.3</v>
      </c>
      <c r="G4" s="4">
        <f>D4*F4</f>
        <v>300</v>
      </c>
      <c r="H4" s="12">
        <f>1-F4</f>
        <v>0.7</v>
      </c>
      <c r="I4" s="4">
        <f>D4*H4</f>
        <v>700</v>
      </c>
      <c r="J4" s="9"/>
    </row>
    <row r="5" spans="2:10" x14ac:dyDescent="0.25">
      <c r="B5" s="11" t="s">
        <v>89</v>
      </c>
      <c r="C5" s="10">
        <v>-0.15</v>
      </c>
      <c r="D5" s="3">
        <f>D4*(1+C5)</f>
        <v>850</v>
      </c>
      <c r="E5" s="13" t="s">
        <v>82</v>
      </c>
      <c r="F5" s="12">
        <f>F4</f>
        <v>0.3</v>
      </c>
      <c r="G5" s="4">
        <f t="shared" ref="G5:G6" si="0">D5*F5</f>
        <v>255</v>
      </c>
      <c r="H5" s="12">
        <f t="shared" ref="H5:H6" si="1">1-F5</f>
        <v>0.7</v>
      </c>
      <c r="I5" s="4">
        <f t="shared" ref="I5:I6" si="2">D5*H5</f>
        <v>595</v>
      </c>
      <c r="J5" s="2">
        <f t="shared" ref="J5:J7" si="3">I5-I4</f>
        <v>-105</v>
      </c>
    </row>
    <row r="6" spans="2:10" x14ac:dyDescent="0.25">
      <c r="B6" s="11" t="s">
        <v>91</v>
      </c>
      <c r="C6" s="10">
        <v>-0.05</v>
      </c>
      <c r="D6" s="3">
        <f>D5*(1+C6)</f>
        <v>807.5</v>
      </c>
      <c r="E6" s="13" t="s">
        <v>82</v>
      </c>
      <c r="F6" s="12">
        <f>F5</f>
        <v>0.3</v>
      </c>
      <c r="G6" s="3">
        <f t="shared" si="0"/>
        <v>242.25</v>
      </c>
      <c r="H6" s="12">
        <f t="shared" si="1"/>
        <v>0.7</v>
      </c>
      <c r="I6" s="3">
        <f t="shared" si="2"/>
        <v>565.25</v>
      </c>
      <c r="J6" s="2">
        <f t="shared" si="3"/>
        <v>-29.75</v>
      </c>
    </row>
    <row r="7" spans="2:10" x14ac:dyDescent="0.25">
      <c r="B7" s="11" t="s">
        <v>92</v>
      </c>
      <c r="C7" s="13"/>
      <c r="D7" s="3">
        <f>G7/F7</f>
        <v>605.625</v>
      </c>
      <c r="E7" s="13" t="s">
        <v>82</v>
      </c>
      <c r="F7" s="12">
        <f>1-H7</f>
        <v>0.4</v>
      </c>
      <c r="G7" s="3">
        <f>G6</f>
        <v>242.25</v>
      </c>
      <c r="H7" s="10">
        <v>0.6</v>
      </c>
      <c r="I7" s="3">
        <f>D7*H7</f>
        <v>363.375</v>
      </c>
      <c r="J7" s="2">
        <f t="shared" si="3"/>
        <v>-201.875</v>
      </c>
    </row>
    <row r="8" spans="2:10" x14ac:dyDescent="0.25">
      <c r="B8" s="11" t="s">
        <v>90</v>
      </c>
      <c r="C8" s="13"/>
      <c r="D8" s="3">
        <f>G8/F8</f>
        <v>255</v>
      </c>
      <c r="E8" s="13" t="s">
        <v>82</v>
      </c>
      <c r="F8" s="12">
        <f>1-H8</f>
        <v>0.95</v>
      </c>
      <c r="G8" s="3">
        <f>G7</f>
        <v>242.25</v>
      </c>
      <c r="H8" s="10">
        <v>0.05</v>
      </c>
      <c r="I8" s="3">
        <f>D8*H8</f>
        <v>12.75</v>
      </c>
      <c r="J8" s="2">
        <f>I8-I7</f>
        <v>-350.625</v>
      </c>
    </row>
    <row r="9" spans="2:10" x14ac:dyDescent="0.25">
      <c r="B9" s="11" t="s">
        <v>81</v>
      </c>
      <c r="C9" s="10">
        <v>-0.05</v>
      </c>
      <c r="D9" s="3">
        <f>D8*(1+C9)</f>
        <v>242.25</v>
      </c>
      <c r="E9" s="13"/>
      <c r="F9" s="12"/>
      <c r="G9" s="4"/>
      <c r="H9" s="10"/>
      <c r="I9" s="3"/>
      <c r="J9" s="2"/>
    </row>
    <row r="10" spans="2:10" ht="13.8" thickBot="1" x14ac:dyDescent="0.3">
      <c r="B10" s="8" t="s">
        <v>80</v>
      </c>
      <c r="C10" s="1"/>
      <c r="D10" s="34">
        <f>D4/D9</f>
        <v>4.1279669762641902</v>
      </c>
      <c r="E10" s="1"/>
      <c r="F10" s="1"/>
      <c r="G10" s="1"/>
      <c r="H10" s="1"/>
      <c r="I10" s="1"/>
      <c r="J10" s="7"/>
    </row>
    <row r="11" spans="2:10" ht="13.8" thickBot="1" x14ac:dyDescent="0.3"/>
    <row r="12" spans="2:10" x14ac:dyDescent="0.25">
      <c r="B12" s="6" t="s">
        <v>79</v>
      </c>
      <c r="C12" s="37" t="s">
        <v>78</v>
      </c>
      <c r="D12" s="37" t="s">
        <v>121</v>
      </c>
      <c r="E12" s="37" t="s">
        <v>27</v>
      </c>
      <c r="F12" s="38" t="s">
        <v>77</v>
      </c>
      <c r="G12" s="25"/>
    </row>
    <row r="13" spans="2:10" x14ac:dyDescent="0.25">
      <c r="B13" s="23">
        <v>0.36</v>
      </c>
      <c r="C13" s="35">
        <v>3.4</v>
      </c>
      <c r="D13" s="27">
        <f>$D$15</f>
        <v>273</v>
      </c>
      <c r="E13" s="28">
        <f>C13*D13</f>
        <v>928.19999999999993</v>
      </c>
      <c r="F13" s="28">
        <f>D13*$E$15/E13</f>
        <v>329.20588235294116</v>
      </c>
      <c r="G13" s="29"/>
    </row>
    <row r="14" spans="2:10" x14ac:dyDescent="0.25">
      <c r="B14" s="23">
        <v>0.33</v>
      </c>
      <c r="C14" s="35">
        <v>3.8</v>
      </c>
      <c r="D14" s="27">
        <f>$D$15</f>
        <v>273</v>
      </c>
      <c r="E14" s="28">
        <f>C14*D14</f>
        <v>1037.3999999999999</v>
      </c>
      <c r="F14" s="28">
        <f>D14*$E$15/E14</f>
        <v>294.5526315789474</v>
      </c>
      <c r="G14" s="29"/>
    </row>
    <row r="15" spans="2:10" x14ac:dyDescent="0.25">
      <c r="B15" s="21">
        <v>0.3</v>
      </c>
      <c r="C15" s="35">
        <v>4.0999999999999996</v>
      </c>
      <c r="D15" s="26">
        <v>273</v>
      </c>
      <c r="E15" s="28">
        <f>C15*D15</f>
        <v>1119.3</v>
      </c>
      <c r="F15" s="28">
        <f>D15*$E$15/E15</f>
        <v>273</v>
      </c>
      <c r="G15" s="29"/>
      <c r="H15" s="40"/>
    </row>
    <row r="16" spans="2:10" x14ac:dyDescent="0.25">
      <c r="B16" s="22">
        <v>0.27</v>
      </c>
      <c r="C16" s="35">
        <v>4.5999999999999996</v>
      </c>
      <c r="D16" s="27">
        <f>$D$15</f>
        <v>273</v>
      </c>
      <c r="E16" s="28">
        <f>C16*D16</f>
        <v>1255.8</v>
      </c>
      <c r="F16" s="28">
        <f>D16*$E$15/E16</f>
        <v>243.32608695652172</v>
      </c>
      <c r="G16" s="29"/>
    </row>
    <row r="17" spans="2:7" ht="13.8" thickBot="1" x14ac:dyDescent="0.3">
      <c r="B17" s="24">
        <v>0.24</v>
      </c>
      <c r="C17" s="36">
        <v>5.2</v>
      </c>
      <c r="D17" s="30">
        <f>$D$15</f>
        <v>273</v>
      </c>
      <c r="E17" s="31">
        <f>C17*D17</f>
        <v>1419.6000000000001</v>
      </c>
      <c r="F17" s="31">
        <f>D17*$E$15/E17</f>
        <v>215.24999999999994</v>
      </c>
      <c r="G17" s="32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CB Data Gari</vt:lpstr>
      <vt:lpstr>CB1 Gari</vt:lpstr>
      <vt:lpstr>PR Gari</vt:lpstr>
      <vt:lpstr>'CB Data Gari'!Print_Area</vt:lpstr>
      <vt:lpstr>'CB1 Gari'!ROE</vt:lpstr>
      <vt:lpstr>'CB1 Gari'!Salary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van Lieshout</dc:creator>
  <cp:lastModifiedBy>olivier van lieshout</cp:lastModifiedBy>
  <cp:lastPrinted>2016-06-06T15:56:38Z</cp:lastPrinted>
  <dcterms:created xsi:type="dcterms:W3CDTF">2014-06-25T14:14:24Z</dcterms:created>
  <dcterms:modified xsi:type="dcterms:W3CDTF">2016-06-07T10:28:54Z</dcterms:modified>
</cp:coreProperties>
</file>