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9210" activeTab="0"/>
  </bookViews>
  <sheets>
    <sheet name="CB1 Sunflower oil" sheetId="1" r:id="rId1"/>
  </sheets>
  <definedNames>
    <definedName name="ROE" localSheetId="0">'CB1 Sunflower oil'!$L$2</definedName>
    <definedName name="ROE">#REF!</definedName>
  </definedNames>
  <calcPr fullCalcOnLoad="1"/>
</workbook>
</file>

<file path=xl/sharedStrings.xml><?xml version="1.0" encoding="utf-8"?>
<sst xmlns="http://schemas.openxmlformats.org/spreadsheetml/2006/main" count="124" uniqueCount="117">
  <si>
    <t>per ton</t>
  </si>
  <si>
    <t>per year</t>
  </si>
  <si>
    <t>Цена (DDU Москва)</t>
  </si>
  <si>
    <t>Total Revenue</t>
  </si>
  <si>
    <t>Общая выручка</t>
  </si>
  <si>
    <t>Импортные пошлины, 10%</t>
  </si>
  <si>
    <t>Total Cost</t>
  </si>
  <si>
    <t>Общие издержки</t>
  </si>
  <si>
    <t>Транспортировка (114$/тон) и комиссия, 3%</t>
  </si>
  <si>
    <t>Profit Before Tax</t>
  </si>
  <si>
    <t>Прибыль до уплаты налогов</t>
  </si>
  <si>
    <t>Price (EXW)</t>
  </si>
  <si>
    <t>Цена (EXW)</t>
  </si>
  <si>
    <t>Profitability %</t>
  </si>
  <si>
    <t>Коэффициент (%) рентабельности</t>
  </si>
  <si>
    <t>Цена (сырье, с доставкой)</t>
  </si>
  <si>
    <t>Стоимость осн.средств</t>
  </si>
  <si>
    <t>Коэффициент переработки</t>
  </si>
  <si>
    <t>Depreciation %</t>
  </si>
  <si>
    <t>Амортизация %</t>
  </si>
  <si>
    <t>Raw Material cost</t>
  </si>
  <si>
    <t>Стоимость сырья</t>
  </si>
  <si>
    <t>FC1</t>
  </si>
  <si>
    <t>Другие ингредиенты</t>
  </si>
  <si>
    <t>VC1</t>
  </si>
  <si>
    <t>Debt (40% of Asset value)</t>
  </si>
  <si>
    <t>Долг</t>
  </si>
  <si>
    <t>Interest rate</t>
  </si>
  <si>
    <t>Процентная ставка</t>
  </si>
  <si>
    <t>Производственные расходы в час</t>
  </si>
  <si>
    <t>FC2</t>
  </si>
  <si>
    <t>Объем производства в час</t>
  </si>
  <si>
    <t>VC2</t>
  </si>
  <si>
    <t>Количество сотрудников (эквив.полн.з.)</t>
  </si>
  <si>
    <t>Salaries staff incl. social taxes</t>
  </si>
  <si>
    <t>З/пл. штатных сотр-в + соц. отчисления</t>
  </si>
  <si>
    <t>Другие накладные расходы</t>
  </si>
  <si>
    <t>Стоимость единицы упаковки</t>
  </si>
  <si>
    <t>FC3</t>
  </si>
  <si>
    <t>Кол-во единиц упаковки на тонну</t>
  </si>
  <si>
    <t>VC3</t>
  </si>
  <si>
    <t>FC</t>
  </si>
  <si>
    <t>FC (общие постоянные затраты)</t>
  </si>
  <si>
    <t>FC % attributed to product</t>
  </si>
  <si>
    <t>FC %, отнесенные к продукту</t>
  </si>
  <si>
    <t>FG losses %</t>
  </si>
  <si>
    <t>VC</t>
  </si>
  <si>
    <t>VC (общие переменные затраты)</t>
  </si>
  <si>
    <t>FC (attributed to product)</t>
  </si>
  <si>
    <t>FC (отнесенные к продукту)</t>
  </si>
  <si>
    <t>Gross margin</t>
  </si>
  <si>
    <t>Валовая маржа (валовая прибыль)</t>
  </si>
  <si>
    <t>Volume sold q (ton)</t>
  </si>
  <si>
    <t>Объем продаж q</t>
  </si>
  <si>
    <t>Gross margin %</t>
  </si>
  <si>
    <t>Коэффициент (%) валовой маржи</t>
  </si>
  <si>
    <t>Contribution</t>
  </si>
  <si>
    <t>Контрибуция/вклад</t>
  </si>
  <si>
    <t>Variable cost</t>
  </si>
  <si>
    <t>Break even volume (sales)</t>
  </si>
  <si>
    <t>Точка безубыточности (по продажам)</t>
  </si>
  <si>
    <t>Break even volume (raw material)</t>
  </si>
  <si>
    <t>Точка безубыточности (по сырью)</t>
  </si>
  <si>
    <t>Fixed Cost / q</t>
  </si>
  <si>
    <t>FC / q</t>
  </si>
  <si>
    <t>Output capacity per hour in ton</t>
  </si>
  <si>
    <t>Мощность в час (в тоннах)</t>
  </si>
  <si>
    <t>Total Cost / q</t>
  </si>
  <si>
    <t>TC / q</t>
  </si>
  <si>
    <t>Operating hours per day</t>
  </si>
  <si>
    <t>Кол-во рабочих часов в день</t>
  </si>
  <si>
    <t>Working days per year</t>
  </si>
  <si>
    <t>Длина сезона в днях</t>
  </si>
  <si>
    <t>Profit / q</t>
  </si>
  <si>
    <t>Прибыль / q</t>
  </si>
  <si>
    <t>Max. output capacity per year</t>
  </si>
  <si>
    <t>Максимальная мощность в год</t>
  </si>
  <si>
    <t>Capacity utilization %</t>
  </si>
  <si>
    <t>Загрузка (использование) мощностей %</t>
  </si>
  <si>
    <r>
      <t xml:space="preserve">Note: figures in </t>
    </r>
    <r>
      <rPr>
        <b/>
        <i/>
        <sz val="10"/>
        <color indexed="12"/>
        <rFont val="Arial"/>
        <family val="2"/>
      </rPr>
      <t>blue</t>
    </r>
    <r>
      <rPr>
        <i/>
        <sz val="10"/>
        <rFont val="Arial"/>
        <family val="2"/>
      </rPr>
      <t xml:space="preserve"> are assumptions; figures in </t>
    </r>
    <r>
      <rPr>
        <b/>
        <i/>
        <sz val="10"/>
        <color indexed="14"/>
        <rFont val="Arial"/>
        <family val="2"/>
      </rPr>
      <t>pink</t>
    </r>
    <r>
      <rPr>
        <i/>
        <sz val="10"/>
        <rFont val="Arial"/>
        <family val="2"/>
      </rPr>
      <t xml:space="preserve"> are calculated in another sheet; figures in </t>
    </r>
    <r>
      <rPr>
        <b/>
        <i/>
        <sz val="10"/>
        <rFont val="Arial"/>
        <family val="2"/>
      </rPr>
      <t>black</t>
    </r>
    <r>
      <rPr>
        <i/>
        <sz val="10"/>
        <rFont val="Arial"/>
        <family val="2"/>
      </rPr>
      <t xml:space="preserve"> are formulas</t>
    </r>
  </si>
  <si>
    <r>
      <t xml:space="preserve">Заметка: цифры </t>
    </r>
    <r>
      <rPr>
        <b/>
        <i/>
        <sz val="10"/>
        <color indexed="12"/>
        <rFont val="Arial"/>
        <family val="2"/>
      </rPr>
      <t>синим</t>
    </r>
    <r>
      <rPr>
        <i/>
        <sz val="10"/>
        <rFont val="Arial"/>
        <family val="2"/>
      </rPr>
      <t xml:space="preserve">-допущения; цифры </t>
    </r>
    <r>
      <rPr>
        <b/>
        <i/>
        <sz val="10"/>
        <color indexed="14"/>
        <rFont val="Arial"/>
        <family val="2"/>
      </rPr>
      <t>розовым</t>
    </r>
    <r>
      <rPr>
        <i/>
        <sz val="10"/>
        <rFont val="Arial"/>
        <family val="2"/>
      </rPr>
      <t xml:space="preserve">-рассчитаны на другом листе, цифры </t>
    </r>
    <r>
      <rPr>
        <b/>
        <i/>
        <sz val="10"/>
        <color indexed="8"/>
        <rFont val="Arial"/>
        <family val="2"/>
      </rPr>
      <t>черным</t>
    </r>
    <r>
      <rPr>
        <i/>
        <sz val="10"/>
        <rFont val="Arial"/>
        <family val="2"/>
      </rPr>
      <t xml:space="preserve"> -формулы</t>
    </r>
  </si>
  <si>
    <t>USD</t>
  </si>
  <si>
    <t>Price (Wholesale price, delivered)</t>
  </si>
  <si>
    <t>Production volume (ton/hr)</t>
  </si>
  <si>
    <t>Number of FTE (8 hr/day) employed</t>
  </si>
  <si>
    <t>CIGAR BOX 1 - Pilsner beer in non-returnable 50 cl bottles, 12 per carton box (6 liter)</t>
  </si>
  <si>
    <t>VC4 Transport cost</t>
  </si>
  <si>
    <t>Other overhead, repairs, marketing</t>
  </si>
  <si>
    <t>Asset value (1400 hl/day)</t>
  </si>
  <si>
    <t>Note 2: Russian text in hidden columns C and G</t>
  </si>
  <si>
    <t xml:space="preserve">More Cigar Box info on www.globalfacts.nl/cigarbox </t>
  </si>
  <si>
    <t>Price (sunflower, delivered factory)</t>
  </si>
  <si>
    <t>CIGAR BOX 1 - Sunflower Refined Oil, sold in 250 kg drum</t>
  </si>
  <si>
    <t>VAT 20%</t>
  </si>
  <si>
    <t>Other ingredients, delivered factory</t>
  </si>
  <si>
    <t>Cost of packing (drum, label)</t>
  </si>
  <si>
    <t>Processing ratio (36% oil)</t>
  </si>
  <si>
    <t>Number of drums per ton</t>
  </si>
  <si>
    <t>Item</t>
  </si>
  <si>
    <t>electricity</t>
  </si>
  <si>
    <t>water</t>
  </si>
  <si>
    <t>hexane</t>
  </si>
  <si>
    <t>Consumption per hour</t>
  </si>
  <si>
    <t>spare parts</t>
  </si>
  <si>
    <t>waste water treatment</t>
  </si>
  <si>
    <t>miscellaneous, analysis</t>
  </si>
  <si>
    <t>labour (60 people)</t>
  </si>
  <si>
    <t>1500 kW</t>
  </si>
  <si>
    <t>30 m3</t>
  </si>
  <si>
    <t>50 kg</t>
  </si>
  <si>
    <t>Total direct operating cost</t>
  </si>
  <si>
    <t>fuel, energy</t>
  </si>
  <si>
    <t>41.7 tons</t>
  </si>
  <si>
    <t>33360 Mj</t>
  </si>
  <si>
    <t>sunflower seeds</t>
  </si>
  <si>
    <t>Cost per ton</t>
  </si>
  <si>
    <t>Production cost/hr (electricity, water, hexane)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</si>
</sst>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0.0%"/>
    <numFmt numFmtId="166" formatCode="0.0"/>
    <numFmt numFmtId="167" formatCode="#,##0.0"/>
    <numFmt numFmtId="168" formatCode="_-* #,##0.0_-;\-* #,##0.0_-;_-* &quot;-&quot;??_-;_-@_-"/>
    <numFmt numFmtId="169" formatCode="[$SAR]\ #,##0.00"/>
    <numFmt numFmtId="170" formatCode="0\ &quot;kg&quot;"/>
    <numFmt numFmtId="171" formatCode="0.0\ &quot;kg&quot;"/>
    <numFmt numFmtId="172" formatCode="0.00\ &quot;kg&quot;"/>
    <numFmt numFmtId="173" formatCode="[$IRR]\ #,##0.00"/>
    <numFmt numFmtId="174" formatCode="[$IRR]\ #,##0.0"/>
    <numFmt numFmtId="175" formatCode="[$IRR]\ #,##0"/>
    <numFmt numFmtId="176" formatCode="_-* #,##0.0_-;\-* #,##0.0_-;_-* &quot;-&quot;_-;_-@_-"/>
    <numFmt numFmtId="177" formatCode="_-* #,##0.00_-;\-* #,##0.00_-;_-* &quot;-&quot;_-;_-@_-"/>
    <numFmt numFmtId="178" formatCode="_-* #,##0.000_-;\-* #,##0.000_-;_-* &quot;-&quot;_-;_-@_-"/>
    <numFmt numFmtId="179" formatCode="_-* #,##0.0000_-;\-* #,##0.0000_-;_-* &quot;-&quot;_-;_-@_-"/>
    <numFmt numFmtId="180" formatCode="_-* #,##0.00000_-;\-* #,##0.00000_-;_-* &quot;-&quot;_-;_-@_-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9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9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i/>
      <sz val="10"/>
      <name val="Arial"/>
      <family val="2"/>
    </font>
    <font>
      <sz val="10"/>
      <color indexed="14"/>
      <name val="Arial"/>
      <family val="2"/>
    </font>
    <font>
      <b/>
      <i/>
      <sz val="10"/>
      <color indexed="12"/>
      <name val="Arial"/>
      <family val="2"/>
    </font>
    <font>
      <b/>
      <i/>
      <sz val="10"/>
      <color indexed="14"/>
      <name val="Arial"/>
      <family val="2"/>
    </font>
    <font>
      <b/>
      <i/>
      <sz val="10"/>
      <name val="Arial"/>
      <family val="2"/>
    </font>
    <font>
      <b/>
      <i/>
      <sz val="10"/>
      <color indexed="8"/>
      <name val="Arial"/>
      <family val="2"/>
    </font>
    <font>
      <sz val="10"/>
      <color indexed="9"/>
      <name val="Arial"/>
      <family val="2"/>
    </font>
    <font>
      <sz val="10"/>
      <color theme="0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21" fillId="20" borderId="10" xfId="0" applyFont="1" applyFill="1" applyBorder="1" applyAlignment="1">
      <alignment/>
    </xf>
    <xf numFmtId="164" fontId="0" fillId="20" borderId="11" xfId="42" applyNumberFormat="1" applyFill="1" applyBorder="1" applyAlignment="1">
      <alignment/>
    </xf>
    <xf numFmtId="0" fontId="0" fillId="20" borderId="12" xfId="0" applyFill="1" applyBorder="1" applyAlignment="1">
      <alignment/>
    </xf>
    <xf numFmtId="0" fontId="0" fillId="20" borderId="11" xfId="0" applyFill="1" applyBorder="1" applyAlignment="1">
      <alignment/>
    </xf>
    <xf numFmtId="17" fontId="0" fillId="20" borderId="11" xfId="0" applyNumberFormat="1" applyFill="1" applyBorder="1" applyAlignment="1">
      <alignment/>
    </xf>
    <xf numFmtId="0" fontId="0" fillId="24" borderId="0" xfId="0" applyFill="1" applyAlignment="1">
      <alignment/>
    </xf>
    <xf numFmtId="0" fontId="22" fillId="24" borderId="0" xfId="0" applyFont="1" applyFill="1" applyAlignment="1">
      <alignment/>
    </xf>
    <xf numFmtId="0" fontId="0" fillId="25" borderId="13" xfId="0" applyFill="1" applyBorder="1" applyAlignment="1">
      <alignment/>
    </xf>
    <xf numFmtId="164" fontId="21" fillId="25" borderId="14" xfId="42" applyNumberFormat="1" applyFont="1" applyFill="1" applyBorder="1" applyAlignment="1">
      <alignment horizontal="center"/>
    </xf>
    <xf numFmtId="0" fontId="0" fillId="25" borderId="14" xfId="0" applyFill="1" applyBorder="1" applyAlignment="1">
      <alignment/>
    </xf>
    <xf numFmtId="164" fontId="21" fillId="25" borderId="14" xfId="0" applyNumberFormat="1" applyFont="1" applyFill="1" applyBorder="1" applyAlignment="1">
      <alignment horizontal="center"/>
    </xf>
    <xf numFmtId="0" fontId="0" fillId="25" borderId="15" xfId="0" applyFill="1" applyBorder="1" applyAlignment="1">
      <alignment/>
    </xf>
    <xf numFmtId="0" fontId="0" fillId="25" borderId="16" xfId="0" applyFill="1" applyBorder="1" applyAlignment="1">
      <alignment/>
    </xf>
    <xf numFmtId="164" fontId="21" fillId="25" borderId="0" xfId="42" applyNumberFormat="1" applyFont="1" applyFill="1" applyBorder="1" applyAlignment="1">
      <alignment horizontal="center"/>
    </xf>
    <xf numFmtId="0" fontId="21" fillId="25" borderId="0" xfId="0" applyFont="1" applyFill="1" applyBorder="1" applyAlignment="1">
      <alignment horizontal="center"/>
    </xf>
    <xf numFmtId="0" fontId="21" fillId="25" borderId="16" xfId="0" applyFont="1" applyFill="1" applyBorder="1" applyAlignment="1">
      <alignment horizontal="center"/>
    </xf>
    <xf numFmtId="0" fontId="21" fillId="25" borderId="0" xfId="0" applyFont="1" applyFill="1" applyAlignment="1">
      <alignment horizontal="center"/>
    </xf>
    <xf numFmtId="0" fontId="21" fillId="25" borderId="17" xfId="0" applyFont="1" applyFill="1" applyBorder="1" applyAlignment="1">
      <alignment horizontal="center"/>
    </xf>
    <xf numFmtId="164" fontId="22" fillId="0" borderId="18" xfId="42" applyNumberFormat="1" applyFont="1" applyFill="1" applyBorder="1" applyAlignment="1">
      <alignment/>
    </xf>
    <xf numFmtId="9" fontId="23" fillId="25" borderId="0" xfId="59" applyFont="1" applyFill="1" applyBorder="1" applyAlignment="1">
      <alignment horizontal="left"/>
    </xf>
    <xf numFmtId="164" fontId="0" fillId="25" borderId="0" xfId="42" applyNumberFormat="1" applyFill="1" applyBorder="1" applyAlignment="1">
      <alignment/>
    </xf>
    <xf numFmtId="0" fontId="0" fillId="25" borderId="17" xfId="0" applyFill="1" applyBorder="1" applyAlignment="1">
      <alignment/>
    </xf>
    <xf numFmtId="0" fontId="0" fillId="24" borderId="0" xfId="0" applyFont="1" applyFill="1" applyAlignment="1">
      <alignment/>
    </xf>
    <xf numFmtId="164" fontId="22" fillId="25" borderId="18" xfId="42" applyNumberFormat="1" applyFont="1" applyFill="1" applyBorder="1" applyAlignment="1">
      <alignment/>
    </xf>
    <xf numFmtId="164" fontId="0" fillId="25" borderId="0" xfId="0" applyNumberFormat="1" applyFill="1" applyBorder="1" applyAlignment="1">
      <alignment/>
    </xf>
    <xf numFmtId="0" fontId="21" fillId="25" borderId="16" xfId="0" applyFont="1" applyFill="1" applyBorder="1" applyAlignment="1">
      <alignment/>
    </xf>
    <xf numFmtId="164" fontId="21" fillId="25" borderId="0" xfId="0" applyNumberFormat="1" applyFont="1" applyFill="1" applyBorder="1" applyAlignment="1">
      <alignment/>
    </xf>
    <xf numFmtId="164" fontId="21" fillId="25" borderId="0" xfId="42" applyNumberFormat="1" applyFont="1" applyFill="1" applyBorder="1" applyAlignment="1">
      <alignment/>
    </xf>
    <xf numFmtId="0" fontId="0" fillId="25" borderId="19" xfId="0" applyFill="1" applyBorder="1" applyAlignment="1">
      <alignment/>
    </xf>
    <xf numFmtId="9" fontId="0" fillId="25" borderId="20" xfId="59" applyFill="1" applyBorder="1" applyAlignment="1">
      <alignment/>
    </xf>
    <xf numFmtId="0" fontId="0" fillId="25" borderId="21" xfId="0" applyFill="1" applyBorder="1" applyAlignment="1">
      <alignment/>
    </xf>
    <xf numFmtId="164" fontId="0" fillId="25" borderId="14" xfId="42" applyNumberFormat="1" applyFill="1" applyBorder="1" applyAlignment="1">
      <alignment/>
    </xf>
    <xf numFmtId="0" fontId="0" fillId="25" borderId="0" xfId="0" applyFill="1" applyBorder="1" applyAlignment="1">
      <alignment/>
    </xf>
    <xf numFmtId="41" fontId="22" fillId="25" borderId="18" xfId="43" applyFont="1" applyFill="1" applyBorder="1" applyAlignment="1">
      <alignment/>
    </xf>
    <xf numFmtId="2" fontId="22" fillId="25" borderId="18" xfId="0" applyNumberFormat="1" applyFont="1" applyFill="1" applyBorder="1" applyAlignment="1">
      <alignment/>
    </xf>
    <xf numFmtId="165" fontId="22" fillId="25" borderId="18" xfId="0" applyNumberFormat="1" applyFont="1" applyFill="1" applyBorder="1" applyAlignment="1">
      <alignment/>
    </xf>
    <xf numFmtId="9" fontId="23" fillId="25" borderId="0" xfId="59" applyNumberFormat="1" applyFont="1" applyFill="1" applyBorder="1" applyAlignment="1">
      <alignment horizontal="left"/>
    </xf>
    <xf numFmtId="9" fontId="23" fillId="25" borderId="17" xfId="59" applyNumberFormat="1" applyFont="1" applyFill="1" applyBorder="1" applyAlignment="1">
      <alignment horizontal="left"/>
    </xf>
    <xf numFmtId="166" fontId="22" fillId="25" borderId="0" xfId="0" applyNumberFormat="1" applyFont="1" applyFill="1" applyBorder="1" applyAlignment="1">
      <alignment/>
    </xf>
    <xf numFmtId="0" fontId="0" fillId="24" borderId="0" xfId="0" applyFont="1" applyFill="1" applyAlignment="1">
      <alignment/>
    </xf>
    <xf numFmtId="165" fontId="23" fillId="25" borderId="0" xfId="59" applyNumberFormat="1" applyFont="1" applyFill="1" applyBorder="1" applyAlignment="1">
      <alignment horizontal="left"/>
    </xf>
    <xf numFmtId="0" fontId="0" fillId="0" borderId="16" xfId="0" applyFill="1" applyBorder="1" applyAlignment="1">
      <alignment/>
    </xf>
    <xf numFmtId="0" fontId="0" fillId="25" borderId="16" xfId="0" applyFont="1" applyFill="1" applyBorder="1" applyAlignment="1">
      <alignment/>
    </xf>
    <xf numFmtId="4" fontId="22" fillId="25" borderId="18" xfId="0" applyNumberFormat="1" applyFont="1" applyFill="1" applyBorder="1" applyAlignment="1">
      <alignment/>
    </xf>
    <xf numFmtId="1" fontId="22" fillId="25" borderId="18" xfId="0" applyNumberFormat="1" applyFont="1" applyFill="1" applyBorder="1" applyAlignment="1">
      <alignment/>
    </xf>
    <xf numFmtId="164" fontId="21" fillId="25" borderId="0" xfId="42" applyNumberFormat="1" applyFont="1" applyFill="1" applyBorder="1" applyAlignment="1">
      <alignment horizontal="left" indent="1"/>
    </xf>
    <xf numFmtId="165" fontId="24" fillId="25" borderId="18" xfId="0" applyNumberFormat="1" applyFont="1" applyFill="1" applyBorder="1" applyAlignment="1">
      <alignment/>
    </xf>
    <xf numFmtId="165" fontId="24" fillId="25" borderId="0" xfId="0" applyNumberFormat="1" applyFont="1" applyFill="1" applyBorder="1" applyAlignment="1">
      <alignment/>
    </xf>
    <xf numFmtId="0" fontId="21" fillId="25" borderId="19" xfId="0" applyFont="1" applyFill="1" applyBorder="1" applyAlignment="1">
      <alignment/>
    </xf>
    <xf numFmtId="0" fontId="21" fillId="0" borderId="19" xfId="0" applyFont="1" applyFill="1" applyBorder="1" applyAlignment="1">
      <alignment/>
    </xf>
    <xf numFmtId="164" fontId="21" fillId="25" borderId="20" xfId="42" applyNumberFormat="1" applyFont="1" applyFill="1" applyBorder="1" applyAlignment="1">
      <alignment/>
    </xf>
    <xf numFmtId="9" fontId="23" fillId="25" borderId="20" xfId="59" applyNumberFormat="1" applyFont="1" applyFill="1" applyBorder="1" applyAlignment="1">
      <alignment horizontal="left"/>
    </xf>
    <xf numFmtId="9" fontId="0" fillId="25" borderId="0" xfId="59" applyFill="1" applyBorder="1" applyAlignment="1">
      <alignment/>
    </xf>
    <xf numFmtId="0" fontId="21" fillId="0" borderId="16" xfId="0" applyFont="1" applyFill="1" applyBorder="1" applyAlignment="1">
      <alignment/>
    </xf>
    <xf numFmtId="43" fontId="0" fillId="25" borderId="18" xfId="42" applyNumberFormat="1" applyFont="1" applyFill="1" applyBorder="1" applyAlignment="1">
      <alignment/>
    </xf>
    <xf numFmtId="0" fontId="22" fillId="25" borderId="18" xfId="0" applyFont="1" applyFill="1" applyBorder="1" applyAlignment="1">
      <alignment/>
    </xf>
    <xf numFmtId="0" fontId="0" fillId="25" borderId="20" xfId="0" applyFill="1" applyBorder="1" applyAlignment="1">
      <alignment/>
    </xf>
    <xf numFmtId="165" fontId="0" fillId="25" borderId="20" xfId="59" applyNumberFormat="1" applyFill="1" applyBorder="1" applyAlignment="1">
      <alignment/>
    </xf>
    <xf numFmtId="0" fontId="23" fillId="25" borderId="19" xfId="0" applyFont="1" applyFill="1" applyBorder="1" applyAlignment="1">
      <alignment/>
    </xf>
    <xf numFmtId="0" fontId="23" fillId="25" borderId="10" xfId="0" applyFont="1" applyFill="1" applyBorder="1" applyAlignment="1">
      <alignment/>
    </xf>
    <xf numFmtId="0" fontId="30" fillId="24" borderId="0" xfId="0" applyFont="1" applyFill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26" borderId="16" xfId="0" applyFill="1" applyBorder="1" applyAlignment="1">
      <alignment/>
    </xf>
    <xf numFmtId="0" fontId="0" fillId="27" borderId="16" xfId="0" applyFont="1" applyFill="1" applyBorder="1" applyAlignment="1">
      <alignment/>
    </xf>
    <xf numFmtId="0" fontId="20" fillId="25" borderId="20" xfId="0" applyFont="1" applyFill="1" applyBorder="1" applyAlignment="1">
      <alignment/>
    </xf>
    <xf numFmtId="0" fontId="0" fillId="25" borderId="16" xfId="0" applyFont="1" applyFill="1" applyBorder="1" applyAlignment="1">
      <alignment/>
    </xf>
    <xf numFmtId="0" fontId="0" fillId="27" borderId="0" xfId="0" applyFont="1" applyFill="1" applyAlignment="1">
      <alignment/>
    </xf>
    <xf numFmtId="0" fontId="0" fillId="27" borderId="0" xfId="0" applyFont="1" applyFill="1" applyAlignment="1">
      <alignment/>
    </xf>
    <xf numFmtId="0" fontId="0" fillId="27" borderId="0" xfId="0" applyFill="1" applyAlignment="1">
      <alignment/>
    </xf>
    <xf numFmtId="176" fontId="0" fillId="27" borderId="0" xfId="43" applyNumberFormat="1" applyFont="1" applyFill="1" applyAlignment="1">
      <alignment/>
    </xf>
    <xf numFmtId="176" fontId="0" fillId="27" borderId="0" xfId="43" applyNumberFormat="1" applyFont="1" applyFill="1" applyAlignment="1">
      <alignment/>
    </xf>
    <xf numFmtId="176" fontId="0" fillId="27" borderId="0" xfId="43" applyNumberFormat="1" applyFont="1" applyFill="1" applyAlignment="1">
      <alignment/>
    </xf>
    <xf numFmtId="0" fontId="0" fillId="27" borderId="0" xfId="0" applyFont="1" applyFill="1" applyAlignment="1">
      <alignment horizontal="center"/>
    </xf>
    <xf numFmtId="3" fontId="0" fillId="27" borderId="0" xfId="0" applyNumberFormat="1" applyFont="1" applyFill="1" applyAlignment="1">
      <alignment horizontal="center"/>
    </xf>
    <xf numFmtId="41" fontId="0" fillId="27" borderId="0" xfId="43" applyNumberFormat="1" applyFont="1" applyFill="1" applyAlignment="1">
      <alignment/>
    </xf>
    <xf numFmtId="179" fontId="0" fillId="27" borderId="0" xfId="43" applyNumberFormat="1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B2:R40"/>
  <sheetViews>
    <sheetView tabSelected="1" zoomScale="90" zoomScaleNormal="90" zoomScalePageLayoutView="0" workbookViewId="0" topLeftCell="A1">
      <selection activeCell="M36" sqref="M36"/>
    </sheetView>
  </sheetViews>
  <sheetFormatPr defaultColWidth="9.140625" defaultRowHeight="12.75"/>
  <cols>
    <col min="1" max="1" width="2.140625" style="6" customWidth="1"/>
    <col min="2" max="2" width="39.57421875" style="6" customWidth="1"/>
    <col min="3" max="3" width="43.421875" style="6" hidden="1" customWidth="1"/>
    <col min="4" max="4" width="10.00390625" style="6" bestFit="1" customWidth="1"/>
    <col min="5" max="5" width="6.8515625" style="6" customWidth="1"/>
    <col min="6" max="6" width="38.8515625" style="6" customWidth="1"/>
    <col min="7" max="7" width="38.421875" style="6" hidden="1" customWidth="1"/>
    <col min="8" max="8" width="12.57421875" style="6" customWidth="1"/>
    <col min="9" max="9" width="6.421875" style="6" customWidth="1"/>
    <col min="10" max="10" width="2.421875" style="6" customWidth="1"/>
    <col min="11" max="11" width="4.57421875" style="6" customWidth="1"/>
    <col min="12" max="12" width="5.28125" style="6" bestFit="1" customWidth="1"/>
    <col min="13" max="13" width="22.7109375" style="6" customWidth="1"/>
    <col min="14" max="14" width="10.00390625" style="6" bestFit="1" customWidth="1"/>
    <col min="15" max="15" width="8.57421875" style="6" customWidth="1"/>
    <col min="16" max="16" width="8.8515625" style="6" customWidth="1"/>
    <col min="17" max="17" width="12.8515625" style="6" bestFit="1" customWidth="1"/>
    <col min="18" max="18" width="5.00390625" style="6" customWidth="1"/>
    <col min="19" max="16384" width="9.140625" style="6" customWidth="1"/>
  </cols>
  <sheetData>
    <row r="2" spans="2:13" ht="12.75">
      <c r="B2" s="1" t="s">
        <v>92</v>
      </c>
      <c r="C2" s="1" t="s">
        <v>85</v>
      </c>
      <c r="D2" s="2"/>
      <c r="E2" s="3"/>
      <c r="F2" s="4"/>
      <c r="G2" s="4"/>
      <c r="H2" s="5">
        <v>40483</v>
      </c>
      <c r="I2" s="3"/>
      <c r="K2" s="61"/>
      <c r="L2" s="61"/>
      <c r="M2" s="7"/>
    </row>
    <row r="3" spans="2:13" ht="12.75">
      <c r="B3" s="8"/>
      <c r="C3" s="8"/>
      <c r="D3" s="9" t="s">
        <v>81</v>
      </c>
      <c r="E3" s="10"/>
      <c r="F3" s="8"/>
      <c r="G3" s="8"/>
      <c r="H3" s="11" t="str">
        <f>D3</f>
        <v>USD</v>
      </c>
      <c r="I3" s="12"/>
      <c r="K3" s="61"/>
      <c r="L3" s="61"/>
      <c r="M3" s="7"/>
    </row>
    <row r="4" spans="2:9" ht="12.75">
      <c r="B4" s="13"/>
      <c r="C4" s="13"/>
      <c r="D4" s="14" t="s">
        <v>0</v>
      </c>
      <c r="E4" s="15"/>
      <c r="F4" s="16"/>
      <c r="G4" s="16"/>
      <c r="H4" s="17" t="s">
        <v>1</v>
      </c>
      <c r="I4" s="18"/>
    </row>
    <row r="5" spans="2:18" ht="12.75">
      <c r="B5" s="43" t="s">
        <v>82</v>
      </c>
      <c r="C5" s="13" t="s">
        <v>2</v>
      </c>
      <c r="D5" s="19">
        <f>973</f>
        <v>973</v>
      </c>
      <c r="E5" s="20"/>
      <c r="F5" s="13" t="s">
        <v>3</v>
      </c>
      <c r="G5" s="13" t="s">
        <v>4</v>
      </c>
      <c r="H5" s="21">
        <f>D8*H28</f>
        <v>30406249.999999996</v>
      </c>
      <c r="I5" s="22"/>
      <c r="L5" s="23"/>
      <c r="M5" s="23"/>
      <c r="N5" s="23"/>
      <c r="O5" s="23"/>
      <c r="P5" s="23"/>
      <c r="Q5" s="23"/>
      <c r="R5" s="23"/>
    </row>
    <row r="6" spans="2:18" ht="12.75">
      <c r="B6" s="67" t="s">
        <v>93</v>
      </c>
      <c r="C6" s="13" t="s">
        <v>5</v>
      </c>
      <c r="D6" s="24">
        <f>D5/120%*20%</f>
        <v>162.16666666666669</v>
      </c>
      <c r="E6" s="20"/>
      <c r="F6" s="13" t="s">
        <v>6</v>
      </c>
      <c r="G6" s="13" t="s">
        <v>7</v>
      </c>
      <c r="H6" s="25">
        <f>D26*H28+H26</f>
        <v>27739697.249999996</v>
      </c>
      <c r="I6" s="22"/>
      <c r="L6" s="23"/>
      <c r="M6" s="23"/>
      <c r="N6" s="23"/>
      <c r="O6" s="23"/>
      <c r="P6" s="23"/>
      <c r="Q6" s="23"/>
      <c r="R6" s="23"/>
    </row>
    <row r="7" spans="2:18" ht="12.75">
      <c r="B7" s="43" t="s">
        <v>86</v>
      </c>
      <c r="C7" s="13" t="s">
        <v>8</v>
      </c>
      <c r="D7" s="24">
        <v>0</v>
      </c>
      <c r="E7" s="20"/>
      <c r="F7" s="26" t="s">
        <v>9</v>
      </c>
      <c r="G7" s="26" t="s">
        <v>10</v>
      </c>
      <c r="H7" s="27">
        <f>H5-H6</f>
        <v>2666552.75</v>
      </c>
      <c r="I7" s="22"/>
      <c r="L7" s="23"/>
      <c r="M7" s="23"/>
      <c r="N7" s="23"/>
      <c r="O7" s="23"/>
      <c r="P7" s="23"/>
      <c r="Q7" s="23"/>
      <c r="R7" s="23"/>
    </row>
    <row r="8" spans="2:18" ht="12.75">
      <c r="B8" s="26" t="s">
        <v>11</v>
      </c>
      <c r="C8" s="26" t="s">
        <v>12</v>
      </c>
      <c r="D8" s="28">
        <f>D5-D7-D6</f>
        <v>810.8333333333333</v>
      </c>
      <c r="E8" s="20"/>
      <c r="F8" s="29" t="s">
        <v>13</v>
      </c>
      <c r="G8" s="29" t="s">
        <v>14</v>
      </c>
      <c r="H8" s="30">
        <f>H7/H5</f>
        <v>0.08769752106885921</v>
      </c>
      <c r="I8" s="31"/>
      <c r="L8" s="23"/>
      <c r="M8" s="23"/>
      <c r="N8" s="23"/>
      <c r="O8" s="23"/>
      <c r="P8" s="23"/>
      <c r="Q8" s="23"/>
      <c r="R8" s="23"/>
    </row>
    <row r="9" spans="2:18" ht="12.75">
      <c r="B9" s="8"/>
      <c r="C9" s="8"/>
      <c r="D9" s="32"/>
      <c r="E9" s="10"/>
      <c r="F9" s="13"/>
      <c r="G9" s="13"/>
      <c r="H9" s="33"/>
      <c r="I9" s="22"/>
      <c r="L9" s="23"/>
      <c r="M9" s="23"/>
      <c r="N9" s="23"/>
      <c r="O9" s="23"/>
      <c r="P9" s="23"/>
      <c r="Q9" s="23"/>
      <c r="R9" s="23"/>
    </row>
    <row r="10" spans="2:18" ht="12.75">
      <c r="B10" s="67" t="s">
        <v>91</v>
      </c>
      <c r="C10" s="13" t="s">
        <v>15</v>
      </c>
      <c r="D10" s="34">
        <f>220</f>
        <v>220</v>
      </c>
      <c r="E10" s="33"/>
      <c r="F10" s="43" t="s">
        <v>88</v>
      </c>
      <c r="G10" s="13" t="s">
        <v>16</v>
      </c>
      <c r="H10" s="24">
        <f>ROUND(27000*D17*22/100000,0)*100000</f>
        <v>4300000</v>
      </c>
      <c r="I10" s="22"/>
      <c r="L10" s="23"/>
      <c r="M10" s="23"/>
      <c r="N10" s="23"/>
      <c r="O10" s="23"/>
      <c r="P10" s="23"/>
      <c r="Q10" s="23"/>
      <c r="R10" s="23"/>
    </row>
    <row r="11" spans="2:18" ht="12.75">
      <c r="B11" s="67" t="s">
        <v>96</v>
      </c>
      <c r="C11" s="13" t="s">
        <v>17</v>
      </c>
      <c r="D11" s="35">
        <v>2.78</v>
      </c>
      <c r="E11" s="33"/>
      <c r="F11" s="13" t="s">
        <v>18</v>
      </c>
      <c r="G11" s="13" t="s">
        <v>19</v>
      </c>
      <c r="H11" s="36">
        <v>0.08</v>
      </c>
      <c r="I11" s="22"/>
      <c r="L11" s="23"/>
      <c r="M11" s="23"/>
      <c r="N11" s="23"/>
      <c r="O11" s="23"/>
      <c r="P11" s="23"/>
      <c r="Q11" s="23"/>
      <c r="R11" s="23"/>
    </row>
    <row r="12" spans="2:18" ht="12.75">
      <c r="B12" s="13" t="s">
        <v>20</v>
      </c>
      <c r="C12" s="13" t="s">
        <v>21</v>
      </c>
      <c r="D12" s="21">
        <f>D10*D11</f>
        <v>611.5999999999999</v>
      </c>
      <c r="E12" s="37">
        <f>D12/$D$26</f>
        <v>0.8876565035221937</v>
      </c>
      <c r="F12" s="26" t="s">
        <v>22</v>
      </c>
      <c r="G12" s="26" t="s">
        <v>22</v>
      </c>
      <c r="H12" s="27">
        <f>H10*H11</f>
        <v>344000</v>
      </c>
      <c r="I12" s="38">
        <f>H12/$H$23</f>
        <v>0.1808622502628812</v>
      </c>
      <c r="L12" s="23"/>
      <c r="M12" s="23"/>
      <c r="N12" s="23"/>
      <c r="O12" s="23"/>
      <c r="P12" s="23"/>
      <c r="Q12" s="23"/>
      <c r="R12" s="23"/>
    </row>
    <row r="13" spans="2:18" ht="12.75">
      <c r="B13" s="67" t="s">
        <v>94</v>
      </c>
      <c r="C13" s="13" t="s">
        <v>23</v>
      </c>
      <c r="D13" s="34"/>
      <c r="E13" s="37">
        <f>D13/$D$26</f>
        <v>0</v>
      </c>
      <c r="F13" s="13"/>
      <c r="G13" s="13"/>
      <c r="H13" s="33"/>
      <c r="I13" s="38"/>
      <c r="L13" s="23"/>
      <c r="M13" s="68" t="s">
        <v>98</v>
      </c>
      <c r="N13" s="68"/>
      <c r="O13" s="68"/>
      <c r="P13" s="68"/>
      <c r="Q13" s="68"/>
      <c r="R13" s="23"/>
    </row>
    <row r="14" spans="2:18" ht="12.75">
      <c r="B14" s="26" t="s">
        <v>24</v>
      </c>
      <c r="C14" s="26" t="s">
        <v>24</v>
      </c>
      <c r="D14" s="28">
        <f>D12+D13</f>
        <v>611.5999999999999</v>
      </c>
      <c r="E14" s="37">
        <f>D14/$D$26</f>
        <v>0.8876565035221937</v>
      </c>
      <c r="F14" s="13" t="s">
        <v>25</v>
      </c>
      <c r="G14" s="13" t="s">
        <v>26</v>
      </c>
      <c r="H14" s="24">
        <f>H10*40%</f>
        <v>1720000</v>
      </c>
      <c r="I14" s="38"/>
      <c r="L14" s="23"/>
      <c r="M14" s="68"/>
      <c r="N14" s="70" t="s">
        <v>102</v>
      </c>
      <c r="O14" s="70"/>
      <c r="P14" s="69"/>
      <c r="Q14" s="69" t="s">
        <v>115</v>
      </c>
      <c r="R14" s="23"/>
    </row>
    <row r="15" spans="2:18" ht="12.75">
      <c r="B15" s="13"/>
      <c r="C15" s="13"/>
      <c r="D15" s="21"/>
      <c r="E15" s="33"/>
      <c r="F15" s="13" t="s">
        <v>27</v>
      </c>
      <c r="G15" s="13" t="s">
        <v>28</v>
      </c>
      <c r="H15" s="36">
        <v>0.15</v>
      </c>
      <c r="I15" s="22"/>
      <c r="L15" s="23"/>
      <c r="M15" s="70"/>
      <c r="N15" s="68"/>
      <c r="O15" s="68"/>
      <c r="P15" s="68"/>
      <c r="Q15" s="68"/>
      <c r="R15" s="23"/>
    </row>
    <row r="16" spans="2:18" ht="12.75">
      <c r="B16" s="67" t="s">
        <v>116</v>
      </c>
      <c r="C16" s="13" t="s">
        <v>29</v>
      </c>
      <c r="D16" s="24">
        <v>170</v>
      </c>
      <c r="E16" s="39"/>
      <c r="F16" s="26" t="s">
        <v>30</v>
      </c>
      <c r="G16" s="26" t="s">
        <v>30</v>
      </c>
      <c r="H16" s="27">
        <f>H14*H15</f>
        <v>258000</v>
      </c>
      <c r="I16" s="38">
        <f>H16/$H$23</f>
        <v>0.13564668769716087</v>
      </c>
      <c r="L16" s="23"/>
      <c r="M16" s="69" t="s">
        <v>114</v>
      </c>
      <c r="N16" s="74" t="s">
        <v>112</v>
      </c>
      <c r="O16" s="74"/>
      <c r="P16" s="76">
        <v>12083.333333333334</v>
      </c>
      <c r="Q16" s="71">
        <v>290</v>
      </c>
      <c r="R16" s="23"/>
    </row>
    <row r="17" spans="2:18" ht="12.75">
      <c r="B17" s="43" t="s">
        <v>83</v>
      </c>
      <c r="C17" s="13" t="s">
        <v>31</v>
      </c>
      <c r="D17" s="35">
        <f>20/2.78</f>
        <v>7.194244604316547</v>
      </c>
      <c r="E17" s="33"/>
      <c r="F17" s="13"/>
      <c r="G17" s="13"/>
      <c r="H17" s="33"/>
      <c r="I17" s="22"/>
      <c r="L17" s="23"/>
      <c r="M17" s="70"/>
      <c r="N17" s="70"/>
      <c r="O17" s="70"/>
      <c r="P17" s="68"/>
      <c r="Q17" s="68"/>
      <c r="R17" s="23"/>
    </row>
    <row r="18" spans="2:18" ht="12.75">
      <c r="B18" s="26" t="s">
        <v>32</v>
      </c>
      <c r="C18" s="26" t="s">
        <v>32</v>
      </c>
      <c r="D18" s="28">
        <f>D16/D17</f>
        <v>23.63</v>
      </c>
      <c r="E18" s="41">
        <f>D18/$D$26</f>
        <v>0.03429581945426658</v>
      </c>
      <c r="F18" s="43" t="s">
        <v>84</v>
      </c>
      <c r="G18" s="42" t="s">
        <v>33</v>
      </c>
      <c r="H18" s="24">
        <v>100</v>
      </c>
      <c r="I18" s="38"/>
      <c r="L18" s="40"/>
      <c r="R18" s="23"/>
    </row>
    <row r="19" spans="2:18" ht="12.75">
      <c r="B19" s="26"/>
      <c r="C19" s="26"/>
      <c r="D19" s="28"/>
      <c r="E19" s="37"/>
      <c r="F19" s="13" t="s">
        <v>34</v>
      </c>
      <c r="G19" s="43" t="s">
        <v>35</v>
      </c>
      <c r="H19" s="24">
        <f>H18*400*12</f>
        <v>480000</v>
      </c>
      <c r="I19" s="38">
        <f>H19/$H$23</f>
        <v>0.25236593059936907</v>
      </c>
      <c r="L19" s="40"/>
      <c r="R19" s="23"/>
    </row>
    <row r="20" spans="2:18" ht="12.75">
      <c r="B20" s="13"/>
      <c r="C20" s="13"/>
      <c r="D20" s="21"/>
      <c r="E20" s="33"/>
      <c r="F20" s="65" t="s">
        <v>87</v>
      </c>
      <c r="G20" s="64" t="s">
        <v>36</v>
      </c>
      <c r="H20" s="24">
        <f>500000+8*40000</f>
        <v>820000</v>
      </c>
      <c r="I20" s="38">
        <f>H20/$H$23</f>
        <v>0.43112513144058884</v>
      </c>
      <c r="L20" s="40"/>
      <c r="M20" s="69" t="s">
        <v>111</v>
      </c>
      <c r="N20" s="75" t="s">
        <v>113</v>
      </c>
      <c r="O20" s="77">
        <f>P20/33360</f>
        <v>0.009992006394884092</v>
      </c>
      <c r="P20" s="76">
        <v>333.3333333333333</v>
      </c>
      <c r="Q20" s="71">
        <v>8</v>
      </c>
      <c r="R20" s="23"/>
    </row>
    <row r="21" spans="2:18" ht="12.75">
      <c r="B21" s="67" t="s">
        <v>95</v>
      </c>
      <c r="C21" s="13" t="s">
        <v>37</v>
      </c>
      <c r="D21" s="44">
        <f>13+0.1</f>
        <v>13.1</v>
      </c>
      <c r="E21" s="33"/>
      <c r="F21" s="26" t="s">
        <v>38</v>
      </c>
      <c r="G21" s="26" t="s">
        <v>38</v>
      </c>
      <c r="H21" s="28">
        <f>SUM(H19:H20)</f>
        <v>1300000</v>
      </c>
      <c r="I21" s="38">
        <f>H21/$H$23</f>
        <v>0.6834910620399579</v>
      </c>
      <c r="L21" s="40"/>
      <c r="M21" s="69" t="s">
        <v>99</v>
      </c>
      <c r="N21" s="75" t="s">
        <v>107</v>
      </c>
      <c r="O21" s="77">
        <f>150/1500</f>
        <v>0.1</v>
      </c>
      <c r="P21" s="76">
        <v>150</v>
      </c>
      <c r="Q21" s="72">
        <v>3.6</v>
      </c>
      <c r="R21" s="23"/>
    </row>
    <row r="22" spans="2:18" ht="12.75">
      <c r="B22" s="67" t="s">
        <v>97</v>
      </c>
      <c r="C22" s="13" t="s">
        <v>39</v>
      </c>
      <c r="D22" s="45">
        <f>1000/250</f>
        <v>4</v>
      </c>
      <c r="E22" s="33"/>
      <c r="F22" s="13"/>
      <c r="G22" s="13"/>
      <c r="H22" s="33"/>
      <c r="I22" s="22"/>
      <c r="L22" s="40"/>
      <c r="M22" s="69" t="s">
        <v>100</v>
      </c>
      <c r="N22" s="74" t="s">
        <v>108</v>
      </c>
      <c r="O22" s="77">
        <f>31/30</f>
        <v>1.0333333333333334</v>
      </c>
      <c r="P22" s="76">
        <v>30.555555555555554</v>
      </c>
      <c r="Q22" s="72">
        <v>0.7</v>
      </c>
      <c r="R22" s="23"/>
    </row>
    <row r="23" spans="2:18" ht="12.75">
      <c r="B23" s="26" t="s">
        <v>40</v>
      </c>
      <c r="C23" s="26" t="s">
        <v>40</v>
      </c>
      <c r="D23" s="46">
        <f>D21*D22</f>
        <v>52.4</v>
      </c>
      <c r="E23" s="37">
        <f>D23/$D$26</f>
        <v>0.07605166903950777</v>
      </c>
      <c r="F23" s="26" t="s">
        <v>41</v>
      </c>
      <c r="G23" s="26" t="s">
        <v>42</v>
      </c>
      <c r="H23" s="28">
        <f>H12+H16+H21</f>
        <v>1902000</v>
      </c>
      <c r="I23" s="38">
        <f>H23/$H$23</f>
        <v>1</v>
      </c>
      <c r="L23" s="40"/>
      <c r="M23" s="69" t="s">
        <v>101</v>
      </c>
      <c r="N23" s="74" t="s">
        <v>109</v>
      </c>
      <c r="O23" s="77">
        <f>15/50</f>
        <v>0.3</v>
      </c>
      <c r="P23" s="76">
        <v>15.277777777777777</v>
      </c>
      <c r="Q23" s="72">
        <v>0.3</v>
      </c>
      <c r="R23" s="23"/>
    </row>
    <row r="24" spans="2:18" ht="12.75">
      <c r="B24" s="13"/>
      <c r="C24" s="13"/>
      <c r="D24" s="21"/>
      <c r="E24" s="33"/>
      <c r="F24" s="13" t="s">
        <v>43</v>
      </c>
      <c r="G24" s="43" t="s">
        <v>44</v>
      </c>
      <c r="H24" s="47">
        <v>1</v>
      </c>
      <c r="I24" s="22"/>
      <c r="L24" s="40"/>
      <c r="M24" s="69" t="s">
        <v>103</v>
      </c>
      <c r="N24" s="70"/>
      <c r="O24" s="70"/>
      <c r="P24" s="76">
        <v>62.5</v>
      </c>
      <c r="Q24" s="72">
        <v>1.5</v>
      </c>
      <c r="R24" s="23"/>
    </row>
    <row r="25" spans="2:18" ht="12.75">
      <c r="B25" s="13" t="s">
        <v>45</v>
      </c>
      <c r="C25" s="13"/>
      <c r="D25" s="36">
        <v>0.002</v>
      </c>
      <c r="E25" s="33"/>
      <c r="F25" s="13"/>
      <c r="G25" s="43"/>
      <c r="H25" s="48"/>
      <c r="I25" s="22"/>
      <c r="L25" s="40"/>
      <c r="M25" s="69" t="s">
        <v>104</v>
      </c>
      <c r="N25" s="70"/>
      <c r="O25" s="70"/>
      <c r="P25" s="76">
        <v>41.666666666666664</v>
      </c>
      <c r="Q25" s="72">
        <v>1</v>
      </c>
      <c r="R25" s="23"/>
    </row>
    <row r="26" spans="2:18" ht="12.75">
      <c r="B26" s="49" t="s">
        <v>46</v>
      </c>
      <c r="C26" s="50" t="s">
        <v>47</v>
      </c>
      <c r="D26" s="51">
        <f>(D14+D18+D23)*(1+D25)</f>
        <v>689.0052599999999</v>
      </c>
      <c r="E26" s="52">
        <f>D26/$D$26</f>
        <v>1</v>
      </c>
      <c r="F26" s="26" t="s">
        <v>48</v>
      </c>
      <c r="G26" s="26" t="s">
        <v>49</v>
      </c>
      <c r="H26" s="27">
        <f>H23*H24</f>
        <v>1902000</v>
      </c>
      <c r="I26" s="38"/>
      <c r="L26" s="40"/>
      <c r="M26" s="69" t="s">
        <v>105</v>
      </c>
      <c r="N26" s="70"/>
      <c r="O26" s="70"/>
      <c r="P26" s="76">
        <v>20.833333333333332</v>
      </c>
      <c r="Q26" s="72">
        <v>0.5</v>
      </c>
      <c r="R26" s="23"/>
    </row>
    <row r="27" spans="2:18" ht="12.75">
      <c r="B27" s="8"/>
      <c r="C27" s="8"/>
      <c r="D27" s="32"/>
      <c r="E27" s="12"/>
      <c r="F27" s="8"/>
      <c r="G27" s="8"/>
      <c r="H27" s="10"/>
      <c r="I27" s="12"/>
      <c r="L27" s="40"/>
      <c r="M27" s="69" t="s">
        <v>106</v>
      </c>
      <c r="N27" s="70"/>
      <c r="O27" s="70"/>
      <c r="P27" s="76">
        <v>145.83333333333334</v>
      </c>
      <c r="Q27" s="72">
        <v>3.5</v>
      </c>
      <c r="R27" s="23"/>
    </row>
    <row r="28" spans="2:17" ht="12.75">
      <c r="B28" s="26" t="s">
        <v>50</v>
      </c>
      <c r="C28" s="26" t="s">
        <v>51</v>
      </c>
      <c r="D28" s="28">
        <f>D8-D26</f>
        <v>121.82807333333335</v>
      </c>
      <c r="E28" s="22"/>
      <c r="F28" s="13" t="s">
        <v>52</v>
      </c>
      <c r="G28" s="13" t="s">
        <v>53</v>
      </c>
      <c r="H28" s="19">
        <v>37500</v>
      </c>
      <c r="I28" s="22"/>
      <c r="L28" s="40"/>
      <c r="M28" s="69" t="s">
        <v>110</v>
      </c>
      <c r="N28" s="69"/>
      <c r="O28" s="69"/>
      <c r="P28" s="73">
        <f>SUM(P20:P27)</f>
        <v>800.0000000000001</v>
      </c>
      <c r="Q28" s="73">
        <f>SUM(Q20:Q27)</f>
        <v>19.1</v>
      </c>
    </row>
    <row r="29" spans="2:9" ht="12.75">
      <c r="B29" s="13" t="s">
        <v>54</v>
      </c>
      <c r="C29" s="13" t="s">
        <v>55</v>
      </c>
      <c r="D29" s="53">
        <f>D28/D8</f>
        <v>0.1502504501541624</v>
      </c>
      <c r="E29" s="22"/>
      <c r="F29" s="26" t="s">
        <v>56</v>
      </c>
      <c r="G29" s="54" t="s">
        <v>57</v>
      </c>
      <c r="H29" s="28">
        <f>D28*H28</f>
        <v>4568552.750000001</v>
      </c>
      <c r="I29" s="22"/>
    </row>
    <row r="30" spans="2:9" ht="12.75">
      <c r="B30" s="13"/>
      <c r="C30" s="13"/>
      <c r="D30" s="53"/>
      <c r="E30" s="22"/>
      <c r="F30" s="26"/>
      <c r="G30" s="26"/>
      <c r="H30" s="28"/>
      <c r="I30" s="22"/>
    </row>
    <row r="31" spans="2:9" ht="12.75">
      <c r="B31" s="26" t="s">
        <v>58</v>
      </c>
      <c r="C31" s="26"/>
      <c r="D31" s="28">
        <f>D26</f>
        <v>689.0052599999999</v>
      </c>
      <c r="E31" s="38">
        <f>D31/$D$35</f>
        <v>0.9314340029432008</v>
      </c>
      <c r="F31" s="26" t="s">
        <v>59</v>
      </c>
      <c r="G31" s="26" t="s">
        <v>60</v>
      </c>
      <c r="H31" s="27">
        <f>H26/D28</f>
        <v>15612.16514354573</v>
      </c>
      <c r="I31" s="22"/>
    </row>
    <row r="32" spans="2:9" ht="12.75">
      <c r="B32"/>
      <c r="C32" s="62"/>
      <c r="D32" s="33"/>
      <c r="E32" s="63"/>
      <c r="F32" s="13" t="s">
        <v>61</v>
      </c>
      <c r="G32" s="13" t="s">
        <v>62</v>
      </c>
      <c r="H32" s="25">
        <f>H28*D11</f>
        <v>104249.99999999999</v>
      </c>
      <c r="I32" s="22"/>
    </row>
    <row r="33" spans="2:9" ht="12.75">
      <c r="B33" s="26" t="s">
        <v>63</v>
      </c>
      <c r="C33" s="26" t="s">
        <v>64</v>
      </c>
      <c r="D33" s="28">
        <f>H26/H28</f>
        <v>50.72</v>
      </c>
      <c r="E33" s="38">
        <f>D33/$D$35</f>
        <v>0.06856599705679918</v>
      </c>
      <c r="F33" s="13"/>
      <c r="G33" s="13"/>
      <c r="H33" s="33"/>
      <c r="I33" s="38"/>
    </row>
    <row r="34" spans="2:9" ht="12.75">
      <c r="B34" s="13"/>
      <c r="C34" s="13"/>
      <c r="D34" s="21"/>
      <c r="E34" s="22"/>
      <c r="F34" s="13" t="s">
        <v>65</v>
      </c>
      <c r="G34" s="13" t="s">
        <v>66</v>
      </c>
      <c r="H34" s="55">
        <f>D17</f>
        <v>7.194244604316547</v>
      </c>
      <c r="I34" s="22"/>
    </row>
    <row r="35" spans="2:9" ht="12.75">
      <c r="B35" s="26" t="s">
        <v>67</v>
      </c>
      <c r="C35" s="26" t="s">
        <v>68</v>
      </c>
      <c r="D35" s="28">
        <f>D26+D33</f>
        <v>739.7252599999999</v>
      </c>
      <c r="E35" s="38">
        <f>D35/$D$35</f>
        <v>1</v>
      </c>
      <c r="F35" s="13" t="s">
        <v>69</v>
      </c>
      <c r="G35" s="13" t="s">
        <v>70</v>
      </c>
      <c r="H35" s="24">
        <v>21.718749999999996</v>
      </c>
      <c r="I35" s="38"/>
    </row>
    <row r="36" spans="2:9" ht="12.75">
      <c r="B36" s="13"/>
      <c r="C36" s="13"/>
      <c r="D36" s="21"/>
      <c r="E36" s="22"/>
      <c r="F36" s="13" t="s">
        <v>71</v>
      </c>
      <c r="G36" s="13" t="s">
        <v>72</v>
      </c>
      <c r="H36" s="56">
        <v>320</v>
      </c>
      <c r="I36" s="22"/>
    </row>
    <row r="37" spans="2:9" ht="12.75">
      <c r="B37" s="26" t="s">
        <v>73</v>
      </c>
      <c r="C37" s="26" t="s">
        <v>74</v>
      </c>
      <c r="D37" s="28">
        <f>D8-D35</f>
        <v>71.10807333333332</v>
      </c>
      <c r="E37" s="38"/>
      <c r="F37" s="26" t="s">
        <v>75</v>
      </c>
      <c r="G37" s="26" t="s">
        <v>76</v>
      </c>
      <c r="H37" s="28">
        <f>H34*H35*H36</f>
        <v>50000</v>
      </c>
      <c r="I37" s="38"/>
    </row>
    <row r="38" spans="2:9" ht="12.75">
      <c r="B38" s="29"/>
      <c r="C38" s="29"/>
      <c r="D38" s="57"/>
      <c r="E38" s="31"/>
      <c r="F38" s="29" t="s">
        <v>77</v>
      </c>
      <c r="G38" s="29" t="s">
        <v>78</v>
      </c>
      <c r="H38" s="58">
        <f>H28/H37</f>
        <v>0.75</v>
      </c>
      <c r="I38" s="31"/>
    </row>
    <row r="39" spans="2:9" ht="12.75">
      <c r="B39" s="59" t="s">
        <v>79</v>
      </c>
      <c r="C39" s="60" t="s">
        <v>80</v>
      </c>
      <c r="D39" s="57"/>
      <c r="E39" s="57"/>
      <c r="F39" s="57"/>
      <c r="G39" s="57"/>
      <c r="H39" s="57"/>
      <c r="I39" s="31"/>
    </row>
    <row r="40" spans="2:9" ht="12.75">
      <c r="B40" s="59" t="s">
        <v>89</v>
      </c>
      <c r="C40" s="60" t="s">
        <v>80</v>
      </c>
      <c r="D40" s="57"/>
      <c r="E40" s="57"/>
      <c r="F40" s="66" t="s">
        <v>90</v>
      </c>
      <c r="G40" s="57"/>
      <c r="H40" s="57"/>
      <c r="I40" s="3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 Business Creation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Olivier van Lieshout</dc:creator>
  <cp:keywords/>
  <dc:description/>
  <cp:lastModifiedBy>Olivier van Lieshout</cp:lastModifiedBy>
  <dcterms:created xsi:type="dcterms:W3CDTF">2010-11-04T11:01:40Z</dcterms:created>
  <dcterms:modified xsi:type="dcterms:W3CDTF">2011-01-20T10:06:37Z</dcterms:modified>
  <cp:category/>
  <cp:version/>
  <cp:contentType/>
  <cp:contentStatus/>
</cp:coreProperties>
</file>