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9465" activeTab="0"/>
  </bookViews>
  <sheets>
    <sheet name="Apple Juice Concentrate" sheetId="1" r:id="rId1"/>
  </sheets>
  <externalReferences>
    <externalReference r:id="rId4"/>
  </externalReferences>
  <definedNames>
    <definedName name="ROE">'[1]Tomato paste'!#REF!</definedName>
  </definedNames>
  <calcPr fullCalcOnLoad="1"/>
</workbook>
</file>

<file path=xl/sharedStrings.xml><?xml version="1.0" encoding="utf-8"?>
<sst xmlns="http://schemas.openxmlformats.org/spreadsheetml/2006/main" count="108" uniqueCount="95">
  <si>
    <t>CIGAR BOX 3 - Apple Juice Concentrate, 70 Brix, in aseptic bags of 220 kg in steel drums</t>
  </si>
  <si>
    <t>USD</t>
  </si>
  <si>
    <t>per ton</t>
  </si>
  <si>
    <t>per year</t>
  </si>
  <si>
    <t>Price (DDP Moscow)</t>
  </si>
  <si>
    <t>Цена (DDU Москва)</t>
  </si>
  <si>
    <t>Total Revenue</t>
  </si>
  <si>
    <t>Общая выручка</t>
  </si>
  <si>
    <t>Import duties, 16%</t>
  </si>
  <si>
    <t>Импортные пошлины, 20%</t>
  </si>
  <si>
    <t>Total Cost</t>
  </si>
  <si>
    <t>Общие издержки</t>
  </si>
  <si>
    <t>VC4 Transport, sales commission 3%</t>
  </si>
  <si>
    <t>Транспортировка (114$/тон) и комиссия, 3%</t>
  </si>
  <si>
    <t>Profit Before Tax</t>
  </si>
  <si>
    <t>Прибыль до уплаты налогов</t>
  </si>
  <si>
    <t>Price (EXW)</t>
  </si>
  <si>
    <t>Цена (EXW)</t>
  </si>
  <si>
    <t>Profit %</t>
  </si>
  <si>
    <t>Коэффициент (%) рентабельности</t>
  </si>
  <si>
    <t>Price (RM, delivered factory)</t>
  </si>
  <si>
    <t>Цена (сырье, с доставкой)</t>
  </si>
  <si>
    <t>Asset value</t>
  </si>
  <si>
    <t>Стоимость осн.средств</t>
  </si>
  <si>
    <t>Processing ratio</t>
  </si>
  <si>
    <t>Коэффициент переработки</t>
  </si>
  <si>
    <t>Depreciation %</t>
  </si>
  <si>
    <t>Амортизация %</t>
  </si>
  <si>
    <t>Raw Material cost</t>
  </si>
  <si>
    <t>Стоимость сырья</t>
  </si>
  <si>
    <t>FC1</t>
  </si>
  <si>
    <t>Other ingredients</t>
  </si>
  <si>
    <t>Другие ингредиенты</t>
  </si>
  <si>
    <t>VC1</t>
  </si>
  <si>
    <t>Debt (40% of Asset value)</t>
  </si>
  <si>
    <t>Долг</t>
  </si>
  <si>
    <t>Interest rate</t>
  </si>
  <si>
    <t>Процентная ставка</t>
  </si>
  <si>
    <t>Production cost per hour (steam, electricity)</t>
  </si>
  <si>
    <t>Производственные расходы в час</t>
  </si>
  <si>
    <t>FC2</t>
  </si>
  <si>
    <t>Production volume per hour (ton/hour)</t>
  </si>
  <si>
    <t>Объем производства в час</t>
  </si>
  <si>
    <t>VC2</t>
  </si>
  <si>
    <t>Number of FTE employed</t>
  </si>
  <si>
    <t>Количество сотрудников (эквив.полн.з.)</t>
  </si>
  <si>
    <t>Salaries permanent staff incl. social taxes</t>
  </si>
  <si>
    <t>З/пл. штатных сотр-в + соц. отчисления</t>
  </si>
  <si>
    <t>Other overhead, repairs, maintenance</t>
  </si>
  <si>
    <t>Другие накладные расходы</t>
  </si>
  <si>
    <t>Cost of packing (aseptic bag + drum)</t>
  </si>
  <si>
    <t>Стоимость единицы упаковки</t>
  </si>
  <si>
    <t>FC3</t>
  </si>
  <si>
    <t>Number of packs per ton</t>
  </si>
  <si>
    <t>Кол-во единиц упаковки на тонну</t>
  </si>
  <si>
    <t>VC3</t>
  </si>
  <si>
    <t>FC</t>
  </si>
  <si>
    <t>FC (общие постоянные затраты)</t>
  </si>
  <si>
    <t>FC % attributed to product</t>
  </si>
  <si>
    <t>FC %, отнесенные к продукту</t>
  </si>
  <si>
    <t>Finished Goods losses %</t>
  </si>
  <si>
    <t>VC</t>
  </si>
  <si>
    <t>FC (attributed to product)</t>
  </si>
  <si>
    <t>FC (отнесенные к продукту)</t>
  </si>
  <si>
    <t>Gross margin</t>
  </si>
  <si>
    <t>Валовая маржа (валовая прибыль)</t>
  </si>
  <si>
    <t>Volume sold q (in ton)</t>
  </si>
  <si>
    <t>Объем продаж q</t>
  </si>
  <si>
    <t>Gross margin %</t>
  </si>
  <si>
    <t>Коэффициент (%) валовой маржи</t>
  </si>
  <si>
    <t>Contribution</t>
  </si>
  <si>
    <t>Контрибуция/вклад</t>
  </si>
  <si>
    <t>Break even volume (sales)</t>
  </si>
  <si>
    <t>Точка безубыточности (по продажам)</t>
  </si>
  <si>
    <t>FC / q</t>
  </si>
  <si>
    <t>Break even volume (raw material)</t>
  </si>
  <si>
    <t>Точка безубыточности (по сырью)</t>
  </si>
  <si>
    <t>TC / q</t>
  </si>
  <si>
    <t>Output capacity per hour in ton</t>
  </si>
  <si>
    <t>Мощность в час (в тоннах)</t>
  </si>
  <si>
    <t>Operating hours per day</t>
  </si>
  <si>
    <t>Кол-во рабочих часов в день</t>
  </si>
  <si>
    <t>Profit / q</t>
  </si>
  <si>
    <t>Прибыль / q</t>
  </si>
  <si>
    <t>Working days per year</t>
  </si>
  <si>
    <t>Длина сезона в днях</t>
  </si>
  <si>
    <t>Max. output capacity per year</t>
  </si>
  <si>
    <t>Максимальная мощность в год</t>
  </si>
  <si>
    <t>Capacity utilization %</t>
  </si>
  <si>
    <t>Загрузка (использование) мощностей %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</si>
  <si>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</si>
  <si>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r>
      <t xml:space="preserve">Заметка: цифры </t>
    </r>
    <r>
      <rPr>
        <b/>
        <i/>
        <sz val="10"/>
        <color indexed="12"/>
        <rFont val="Arial"/>
        <family val="2"/>
      </rPr>
      <t>синим</t>
    </r>
    <r>
      <rPr>
        <i/>
        <sz val="10"/>
        <rFont val="Arial"/>
        <family val="2"/>
      </rPr>
      <t xml:space="preserve">-допущения; цифры </t>
    </r>
    <r>
      <rPr>
        <b/>
        <i/>
        <sz val="10"/>
        <color indexed="14"/>
        <rFont val="Arial"/>
        <family val="2"/>
      </rPr>
      <t>розовым</t>
    </r>
    <r>
      <rPr>
        <i/>
        <sz val="10"/>
        <rFont val="Arial"/>
        <family val="2"/>
      </rPr>
      <t xml:space="preserve">-рассчитаны на другом листе, цифры </t>
    </r>
    <r>
      <rPr>
        <b/>
        <i/>
        <sz val="10"/>
        <color indexed="8"/>
        <rFont val="Arial"/>
        <family val="2"/>
      </rPr>
      <t>черным</t>
    </r>
    <r>
      <rPr>
        <i/>
        <sz val="10"/>
        <rFont val="Arial"/>
        <family val="2"/>
      </rPr>
      <t xml:space="preserve"> -формулы</t>
    </r>
  </si>
  <si>
    <t>Note 2: Russian text in hidden columns C and G</t>
  </si>
  <si>
    <t>Note 2: English text in hidden columns B and F</t>
  </si>
  <si>
    <t xml:space="preserve">More Cigar Box info on www.globalfacts.nl/cigarbox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</si>
</sst>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0" fillId="33" borderId="11" xfId="42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164" fontId="2" fillId="35" borderId="14" xfId="42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64" fontId="2" fillId="35" borderId="0" xfId="42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3" fontId="3" fillId="35" borderId="18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164" fontId="0" fillId="35" borderId="0" xfId="42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64" fontId="2" fillId="35" borderId="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" fontId="2" fillId="35" borderId="20" xfId="42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9" fontId="0" fillId="35" borderId="20" xfId="57" applyFill="1" applyBorder="1" applyAlignment="1">
      <alignment/>
    </xf>
    <xf numFmtId="164" fontId="0" fillId="35" borderId="14" xfId="42" applyNumberFormat="1" applyFill="1" applyBorder="1" applyAlignment="1">
      <alignment/>
    </xf>
    <xf numFmtId="164" fontId="3" fillId="35" borderId="18" xfId="42" applyNumberFormat="1" applyFont="1" applyFill="1" applyBorder="1" applyAlignment="1">
      <alignment/>
    </xf>
    <xf numFmtId="43" fontId="3" fillId="0" borderId="18" xfId="42" applyNumberFormat="1" applyFont="1" applyFill="1" applyBorder="1" applyAlignment="1">
      <alignment/>
    </xf>
    <xf numFmtId="165" fontId="3" fillId="35" borderId="18" xfId="0" applyNumberFormat="1" applyFont="1" applyFill="1" applyBorder="1" applyAlignment="1">
      <alignment/>
    </xf>
    <xf numFmtId="9" fontId="4" fillId="35" borderId="17" xfId="57" applyNumberFormat="1" applyFont="1" applyFill="1" applyBorder="1" applyAlignment="1">
      <alignment horizontal="left"/>
    </xf>
    <xf numFmtId="164" fontId="2" fillId="35" borderId="0" xfId="42" applyNumberFormat="1" applyFont="1" applyFill="1" applyBorder="1" applyAlignment="1">
      <alignment/>
    </xf>
    <xf numFmtId="9" fontId="3" fillId="35" borderId="18" xfId="0" applyNumberFormat="1" applyFont="1" applyFill="1" applyBorder="1" applyAlignment="1">
      <alignment/>
    </xf>
    <xf numFmtId="166" fontId="3" fillId="35" borderId="17" xfId="0" applyNumberFormat="1" applyFont="1" applyFill="1" applyBorder="1" applyAlignment="1">
      <alignment/>
    </xf>
    <xf numFmtId="167" fontId="3" fillId="35" borderId="18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65" fontId="5" fillId="35" borderId="18" xfId="0" applyNumberFormat="1" applyFont="1" applyFill="1" applyBorder="1" applyAlignment="1">
      <alignment/>
    </xf>
    <xf numFmtId="164" fontId="2" fillId="35" borderId="20" xfId="42" applyNumberFormat="1" applyFont="1" applyFill="1" applyBorder="1" applyAlignment="1">
      <alignment/>
    </xf>
    <xf numFmtId="9" fontId="4" fillId="35" borderId="21" xfId="57" applyNumberFormat="1" applyFont="1" applyFill="1" applyBorder="1" applyAlignment="1">
      <alignment horizontal="left"/>
    </xf>
    <xf numFmtId="164" fontId="2" fillId="35" borderId="20" xfId="0" applyNumberFormat="1" applyFont="1" applyFill="1" applyBorder="1" applyAlignment="1">
      <alignment/>
    </xf>
    <xf numFmtId="9" fontId="0" fillId="35" borderId="0" xfId="57" applyFill="1" applyBorder="1" applyAlignment="1">
      <alignment/>
    </xf>
    <xf numFmtId="0" fontId="2" fillId="0" borderId="0" xfId="0" applyFont="1" applyFill="1" applyBorder="1" applyAlignment="1">
      <alignment/>
    </xf>
    <xf numFmtId="167" fontId="0" fillId="35" borderId="0" xfId="42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164" fontId="0" fillId="35" borderId="20" xfId="42" applyNumberFormat="1" applyFill="1" applyBorder="1" applyAlignment="1">
      <alignment/>
    </xf>
    <xf numFmtId="165" fontId="0" fillId="35" borderId="20" xfId="57" applyNumberForma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164" fontId="0" fillId="34" borderId="0" xfId="42" applyNumberFormat="1" applyFill="1" applyAlignment="1">
      <alignment/>
    </xf>
    <xf numFmtId="165" fontId="5" fillId="35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vier's%20Documents\FAO%202008-2010\Booklet\Cigar%20Box%20FAO%20s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mato paste"/>
      <sheetName val="Apple Juice Concentrate"/>
      <sheetName val="Apricot puree"/>
      <sheetName val="Ketchup"/>
      <sheetName val="Juice"/>
      <sheetName val="Vegetables"/>
      <sheetName val="Frozen vegetables"/>
      <sheetName val="Gouda cheese"/>
      <sheetName val="Preserves"/>
      <sheetName val="Frozen fru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I40"/>
  <sheetViews>
    <sheetView tabSelected="1" zoomScale="91" zoomScaleNormal="91" zoomScalePageLayoutView="0" workbookViewId="0" topLeftCell="A1">
      <selection activeCell="H26" sqref="H26"/>
    </sheetView>
  </sheetViews>
  <sheetFormatPr defaultColWidth="9.140625" defaultRowHeight="12.75"/>
  <cols>
    <col min="1" max="1" width="2.421875" style="7" customWidth="1"/>
    <col min="2" max="2" width="41.8515625" style="7" customWidth="1"/>
    <col min="3" max="3" width="22.7109375" style="7" hidden="1" customWidth="1"/>
    <col min="4" max="4" width="8.00390625" style="60" customWidth="1"/>
    <col min="5" max="5" width="7.140625" style="7" customWidth="1"/>
    <col min="6" max="6" width="41.8515625" style="7" customWidth="1"/>
    <col min="7" max="7" width="36.140625" style="7" hidden="1" customWidth="1"/>
    <col min="8" max="8" width="12.28125" style="7" customWidth="1"/>
    <col min="9" max="9" width="7.421875" style="7" customWidth="1"/>
    <col min="10" max="10" width="3.57421875" style="7" customWidth="1"/>
    <col min="11" max="11" width="9.00390625" style="7" customWidth="1"/>
    <col min="12" max="16384" width="9.140625" style="7" customWidth="1"/>
  </cols>
  <sheetData>
    <row r="2" spans="2:9" ht="12.75">
      <c r="B2" s="1" t="s">
        <v>0</v>
      </c>
      <c r="C2" s="2" t="s">
        <v>0</v>
      </c>
      <c r="D2" s="3"/>
      <c r="E2" s="4"/>
      <c r="F2" s="5"/>
      <c r="G2" s="4"/>
      <c r="H2" s="4"/>
      <c r="I2" s="6"/>
    </row>
    <row r="3" spans="2:9" ht="12.75">
      <c r="B3" s="8"/>
      <c r="C3" s="9"/>
      <c r="D3" s="10" t="s">
        <v>1</v>
      </c>
      <c r="E3" s="11"/>
      <c r="F3" s="12"/>
      <c r="G3" s="9"/>
      <c r="H3" s="13" t="s">
        <v>1</v>
      </c>
      <c r="I3" s="11"/>
    </row>
    <row r="4" spans="2:9" ht="12.75">
      <c r="B4" s="8"/>
      <c r="C4" s="14"/>
      <c r="D4" s="15" t="s">
        <v>2</v>
      </c>
      <c r="E4" s="16"/>
      <c r="F4" s="17"/>
      <c r="G4" s="18"/>
      <c r="H4" s="18" t="s">
        <v>3</v>
      </c>
      <c r="I4" s="16"/>
    </row>
    <row r="5" spans="2:9" ht="12.75">
      <c r="B5" s="8" t="s">
        <v>4</v>
      </c>
      <c r="C5" s="14" t="s">
        <v>5</v>
      </c>
      <c r="D5" s="19">
        <v>1200</v>
      </c>
      <c r="E5" s="20"/>
      <c r="F5" s="8" t="s">
        <v>6</v>
      </c>
      <c r="G5" s="14" t="s">
        <v>7</v>
      </c>
      <c r="H5" s="21">
        <f>D8*H28</f>
        <v>2933600</v>
      </c>
      <c r="I5" s="20"/>
    </row>
    <row r="6" spans="2:9" ht="12.75">
      <c r="B6" s="8" t="s">
        <v>8</v>
      </c>
      <c r="C6" s="14" t="s">
        <v>9</v>
      </c>
      <c r="D6" s="19">
        <f>16%*D5</f>
        <v>192</v>
      </c>
      <c r="E6" s="20"/>
      <c r="F6" s="8" t="s">
        <v>10</v>
      </c>
      <c r="G6" s="14" t="s">
        <v>11</v>
      </c>
      <c r="H6" s="22">
        <f>D26*H28+H26</f>
        <v>2768143.7090909095</v>
      </c>
      <c r="I6" s="20"/>
    </row>
    <row r="7" spans="2:9" ht="12.75">
      <c r="B7" s="8" t="s">
        <v>12</v>
      </c>
      <c r="C7" s="14" t="s">
        <v>13</v>
      </c>
      <c r="D7" s="19">
        <f>4000/20+3%*D5</f>
        <v>236</v>
      </c>
      <c r="E7" s="20"/>
      <c r="F7" s="23" t="s">
        <v>14</v>
      </c>
      <c r="G7" s="24" t="s">
        <v>15</v>
      </c>
      <c r="H7" s="25">
        <f>H5-H6</f>
        <v>165456.29090909055</v>
      </c>
      <c r="I7" s="20"/>
    </row>
    <row r="8" spans="2:9" ht="12.75">
      <c r="B8" s="26" t="s">
        <v>16</v>
      </c>
      <c r="C8" s="27" t="s">
        <v>17</v>
      </c>
      <c r="D8" s="28">
        <f>D5-D7-D6</f>
        <v>772</v>
      </c>
      <c r="E8" s="29"/>
      <c r="F8" s="30" t="s">
        <v>18</v>
      </c>
      <c r="G8" s="31" t="s">
        <v>19</v>
      </c>
      <c r="H8" s="32">
        <f>H7/H5</f>
        <v>0.056400426407516545</v>
      </c>
      <c r="I8" s="29"/>
    </row>
    <row r="9" spans="2:9" ht="12.75">
      <c r="B9" s="12"/>
      <c r="C9" s="9"/>
      <c r="D9" s="33"/>
      <c r="E9" s="11"/>
      <c r="F9" s="12"/>
      <c r="G9" s="9"/>
      <c r="H9" s="9"/>
      <c r="I9" s="11"/>
    </row>
    <row r="10" spans="2:9" ht="12.75">
      <c r="B10" s="8" t="s">
        <v>20</v>
      </c>
      <c r="C10" s="14" t="s">
        <v>21</v>
      </c>
      <c r="D10" s="34">
        <f>45</f>
        <v>45</v>
      </c>
      <c r="E10" s="20"/>
      <c r="F10" s="8" t="s">
        <v>22</v>
      </c>
      <c r="G10" s="14" t="s">
        <v>23</v>
      </c>
      <c r="H10" s="34">
        <v>1400000</v>
      </c>
      <c r="I10" s="20"/>
    </row>
    <row r="11" spans="2:9" ht="12.75">
      <c r="B11" s="8" t="s">
        <v>24</v>
      </c>
      <c r="C11" s="14" t="s">
        <v>25</v>
      </c>
      <c r="D11" s="35">
        <v>8</v>
      </c>
      <c r="E11" s="20"/>
      <c r="F11" s="8" t="s">
        <v>26</v>
      </c>
      <c r="G11" s="14" t="s">
        <v>27</v>
      </c>
      <c r="H11" s="36">
        <v>0.1</v>
      </c>
      <c r="I11" s="20"/>
    </row>
    <row r="12" spans="2:9" ht="12.75">
      <c r="B12" s="8" t="s">
        <v>28</v>
      </c>
      <c r="C12" s="14" t="s">
        <v>29</v>
      </c>
      <c r="D12" s="21">
        <f>D10*D11</f>
        <v>360</v>
      </c>
      <c r="E12" s="37">
        <f>D12/$D$26</f>
        <v>0.5891615695264212</v>
      </c>
      <c r="F12" s="23" t="s">
        <v>30</v>
      </c>
      <c r="G12" s="24" t="s">
        <v>30</v>
      </c>
      <c r="H12" s="25">
        <f>H10*H11</f>
        <v>140000</v>
      </c>
      <c r="I12" s="37">
        <f>H12/$H$23</f>
        <v>0.31376064545047067</v>
      </c>
    </row>
    <row r="13" spans="2:9" ht="12.75">
      <c r="B13" s="8" t="s">
        <v>31</v>
      </c>
      <c r="C13" s="14" t="s">
        <v>32</v>
      </c>
      <c r="D13" s="34">
        <f>100</f>
        <v>100</v>
      </c>
      <c r="E13" s="37">
        <f>D13/$D$26</f>
        <v>0.16365599153511698</v>
      </c>
      <c r="F13" s="8"/>
      <c r="G13" s="14"/>
      <c r="H13" s="14"/>
      <c r="I13" s="37"/>
    </row>
    <row r="14" spans="2:9" ht="12.75">
      <c r="B14" s="23" t="s">
        <v>33</v>
      </c>
      <c r="C14" s="24" t="s">
        <v>33</v>
      </c>
      <c r="D14" s="38">
        <f>D12+D13</f>
        <v>460</v>
      </c>
      <c r="E14" s="37">
        <f>D14/$D$26</f>
        <v>0.7528175610615382</v>
      </c>
      <c r="F14" s="8" t="s">
        <v>34</v>
      </c>
      <c r="G14" s="14" t="s">
        <v>35</v>
      </c>
      <c r="H14" s="34">
        <f>40%*H10</f>
        <v>560000</v>
      </c>
      <c r="I14" s="37"/>
    </row>
    <row r="15" spans="2:9" ht="12.75">
      <c r="B15" s="8"/>
      <c r="C15" s="14"/>
      <c r="D15" s="21"/>
      <c r="E15" s="20"/>
      <c r="F15" s="8" t="s">
        <v>36</v>
      </c>
      <c r="G15" s="14" t="s">
        <v>37</v>
      </c>
      <c r="H15" s="39">
        <v>0.12</v>
      </c>
      <c r="I15" s="20"/>
    </row>
    <row r="16" spans="2:9" ht="12.75">
      <c r="B16" s="8" t="s">
        <v>38</v>
      </c>
      <c r="C16" s="14" t="s">
        <v>39</v>
      </c>
      <c r="D16" s="34">
        <f>145</f>
        <v>145</v>
      </c>
      <c r="E16" s="40"/>
      <c r="F16" s="23" t="s">
        <v>40</v>
      </c>
      <c r="G16" s="24" t="s">
        <v>40</v>
      </c>
      <c r="H16" s="25">
        <f>H14*H15</f>
        <v>67200</v>
      </c>
      <c r="I16" s="37">
        <f>H16/$H$23</f>
        <v>0.1506051098162259</v>
      </c>
    </row>
    <row r="17" spans="2:9" ht="12.75">
      <c r="B17" s="8" t="s">
        <v>41</v>
      </c>
      <c r="C17" s="14" t="s">
        <v>42</v>
      </c>
      <c r="D17" s="41">
        <f>2.5</f>
        <v>2.5</v>
      </c>
      <c r="E17" s="20"/>
      <c r="F17" s="8"/>
      <c r="G17" s="14"/>
      <c r="H17" s="14"/>
      <c r="I17" s="20"/>
    </row>
    <row r="18" spans="2:9" ht="12.75">
      <c r="B18" s="23" t="s">
        <v>43</v>
      </c>
      <c r="C18" s="24" t="s">
        <v>43</v>
      </c>
      <c r="D18" s="38">
        <f>D16/D17</f>
        <v>58</v>
      </c>
      <c r="E18" s="37">
        <f>D18/$D$26</f>
        <v>0.09492047509036786</v>
      </c>
      <c r="F18" s="8" t="s">
        <v>44</v>
      </c>
      <c r="G18" s="42" t="s">
        <v>45</v>
      </c>
      <c r="H18" s="34">
        <v>50</v>
      </c>
      <c r="I18" s="37"/>
    </row>
    <row r="19" spans="2:9" ht="12.75">
      <c r="B19" s="23"/>
      <c r="C19" s="24"/>
      <c r="D19" s="38"/>
      <c r="E19" s="37"/>
      <c r="F19" s="8" t="s">
        <v>46</v>
      </c>
      <c r="G19" s="43" t="s">
        <v>47</v>
      </c>
      <c r="H19" s="34">
        <f>3500*H18</f>
        <v>175000</v>
      </c>
      <c r="I19" s="37">
        <f>H19/$H$23</f>
        <v>0.3922008068130883</v>
      </c>
    </row>
    <row r="20" spans="2:9" ht="12.75">
      <c r="B20" s="8"/>
      <c r="C20" s="14"/>
      <c r="D20" s="21"/>
      <c r="E20" s="20"/>
      <c r="F20" s="8" t="s">
        <v>48</v>
      </c>
      <c r="G20" s="44" t="s">
        <v>49</v>
      </c>
      <c r="H20" s="34">
        <v>64000</v>
      </c>
      <c r="I20" s="37">
        <f>H20/$H$23</f>
        <v>0.14343343792021515</v>
      </c>
    </row>
    <row r="21" spans="2:9" ht="12.75">
      <c r="B21" s="8" t="s">
        <v>50</v>
      </c>
      <c r="C21" s="14" t="s">
        <v>51</v>
      </c>
      <c r="D21" s="41">
        <f>(18+2.2)</f>
        <v>20.2</v>
      </c>
      <c r="E21" s="20"/>
      <c r="F21" s="23" t="s">
        <v>52</v>
      </c>
      <c r="G21" s="24" t="s">
        <v>52</v>
      </c>
      <c r="H21" s="38">
        <f>H19+H20</f>
        <v>239000</v>
      </c>
      <c r="I21" s="37">
        <f>H21/$H$23</f>
        <v>0.5356342447333035</v>
      </c>
    </row>
    <row r="22" spans="2:9" ht="12.75">
      <c r="B22" s="8" t="s">
        <v>53</v>
      </c>
      <c r="C22" s="14" t="s">
        <v>54</v>
      </c>
      <c r="D22" s="41">
        <f>1000/220</f>
        <v>4.545454545454546</v>
      </c>
      <c r="E22" s="20"/>
      <c r="F22" s="8"/>
      <c r="G22" s="14"/>
      <c r="H22" s="14"/>
      <c r="I22" s="20"/>
    </row>
    <row r="23" spans="2:9" ht="12.75">
      <c r="B23" s="23" t="s">
        <v>55</v>
      </c>
      <c r="C23" s="24" t="s">
        <v>55</v>
      </c>
      <c r="D23" s="38">
        <f>D21*D22</f>
        <v>91.81818181818183</v>
      </c>
      <c r="E23" s="37">
        <f>D23/$D$26</f>
        <v>0.15026595586406197</v>
      </c>
      <c r="F23" s="23" t="s">
        <v>56</v>
      </c>
      <c r="G23" s="24" t="s">
        <v>57</v>
      </c>
      <c r="H23" s="38">
        <f>H12+H16+H21</f>
        <v>446200</v>
      </c>
      <c r="I23" s="37">
        <f>H23/$H$23</f>
        <v>1</v>
      </c>
    </row>
    <row r="24" spans="2:9" ht="12.75">
      <c r="B24" s="8"/>
      <c r="C24" s="14"/>
      <c r="D24" s="21"/>
      <c r="E24" s="20"/>
      <c r="F24" s="8" t="s">
        <v>58</v>
      </c>
      <c r="G24" s="43" t="s">
        <v>59</v>
      </c>
      <c r="H24" s="45">
        <v>1</v>
      </c>
      <c r="I24" s="20"/>
    </row>
    <row r="25" spans="2:9" ht="12.75">
      <c r="B25" s="8" t="s">
        <v>60</v>
      </c>
      <c r="C25" s="14" t="s">
        <v>60</v>
      </c>
      <c r="D25" s="36">
        <v>0.002</v>
      </c>
      <c r="E25" s="20"/>
      <c r="F25" s="8"/>
      <c r="G25" s="43"/>
      <c r="H25" s="61"/>
      <c r="I25" s="20"/>
    </row>
    <row r="26" spans="2:9" ht="12.75">
      <c r="B26" s="26" t="s">
        <v>61</v>
      </c>
      <c r="C26" s="27" t="s">
        <v>61</v>
      </c>
      <c r="D26" s="46">
        <f>(D14+D18+D23)*(1+D25)</f>
        <v>611.0378181818182</v>
      </c>
      <c r="E26" s="47">
        <f>D26/$D$26</f>
        <v>1</v>
      </c>
      <c r="F26" s="26" t="s">
        <v>62</v>
      </c>
      <c r="G26" s="27" t="s">
        <v>63</v>
      </c>
      <c r="H26" s="48">
        <f>H23*H24</f>
        <v>446200</v>
      </c>
      <c r="I26" s="47"/>
    </row>
    <row r="27" spans="2:9" ht="12.75">
      <c r="B27" s="12"/>
      <c r="C27" s="9"/>
      <c r="D27" s="33"/>
      <c r="E27" s="11"/>
      <c r="F27" s="12"/>
      <c r="G27" s="9"/>
      <c r="H27" s="9"/>
      <c r="I27" s="11"/>
    </row>
    <row r="28" spans="2:9" ht="12.75">
      <c r="B28" s="23" t="s">
        <v>64</v>
      </c>
      <c r="C28" s="24" t="s">
        <v>65</v>
      </c>
      <c r="D28" s="38">
        <f>D8-D26</f>
        <v>160.96218181818176</v>
      </c>
      <c r="E28" s="20"/>
      <c r="F28" s="8" t="s">
        <v>66</v>
      </c>
      <c r="G28" s="14" t="s">
        <v>67</v>
      </c>
      <c r="H28" s="34">
        <v>3800</v>
      </c>
      <c r="I28" s="20"/>
    </row>
    <row r="29" spans="2:9" ht="12.75">
      <c r="B29" s="8" t="s">
        <v>68</v>
      </c>
      <c r="C29" s="14" t="s">
        <v>69</v>
      </c>
      <c r="D29" s="49">
        <f>D28/D8</f>
        <v>0.20850023551577948</v>
      </c>
      <c r="E29" s="20"/>
      <c r="F29" s="23" t="s">
        <v>70</v>
      </c>
      <c r="G29" s="50" t="s">
        <v>71</v>
      </c>
      <c r="H29" s="38">
        <f>D28*H28</f>
        <v>611656.2909090907</v>
      </c>
      <c r="I29" s="20"/>
    </row>
    <row r="30" spans="2:9" ht="12.75">
      <c r="B30" s="8"/>
      <c r="C30" s="14"/>
      <c r="D30" s="49"/>
      <c r="E30" s="20"/>
      <c r="F30" s="23"/>
      <c r="G30" s="24"/>
      <c r="H30" s="38"/>
      <c r="I30" s="20"/>
    </row>
    <row r="31" spans="2:9" ht="12.75">
      <c r="B31" s="8"/>
      <c r="C31" s="14"/>
      <c r="D31" s="21"/>
      <c r="E31" s="20"/>
      <c r="F31" s="23" t="s">
        <v>72</v>
      </c>
      <c r="G31" s="24" t="s">
        <v>73</v>
      </c>
      <c r="H31" s="25">
        <f>H26/D28</f>
        <v>2772.079720589366</v>
      </c>
      <c r="I31" s="20"/>
    </row>
    <row r="32" spans="2:9" ht="12.75">
      <c r="B32" s="23" t="s">
        <v>74</v>
      </c>
      <c r="C32" s="24" t="s">
        <v>74</v>
      </c>
      <c r="D32" s="38">
        <f>H26/H28</f>
        <v>117.42105263157895</v>
      </c>
      <c r="E32" s="37">
        <f>D32/$D$34</f>
        <v>0.1611910532443192</v>
      </c>
      <c r="F32" s="8" t="s">
        <v>75</v>
      </c>
      <c r="G32" s="14" t="s">
        <v>76</v>
      </c>
      <c r="H32" s="22">
        <f>H28*D11</f>
        <v>30400</v>
      </c>
      <c r="I32" s="20"/>
    </row>
    <row r="33" spans="2:9" ht="12.75">
      <c r="B33" s="8"/>
      <c r="C33" s="14"/>
      <c r="D33" s="21"/>
      <c r="E33" s="20"/>
      <c r="F33" s="8"/>
      <c r="G33" s="14"/>
      <c r="H33" s="14"/>
      <c r="I33" s="37"/>
    </row>
    <row r="34" spans="2:9" ht="12.75">
      <c r="B34" s="23" t="s">
        <v>77</v>
      </c>
      <c r="C34" s="24" t="s">
        <v>77</v>
      </c>
      <c r="D34" s="38">
        <f>D26+D32</f>
        <v>728.4588708133972</v>
      </c>
      <c r="E34" s="37">
        <f>D34/$D$34</f>
        <v>1</v>
      </c>
      <c r="F34" s="8" t="s">
        <v>78</v>
      </c>
      <c r="G34" s="14" t="s">
        <v>79</v>
      </c>
      <c r="H34" s="51">
        <f>D11*D17</f>
        <v>20</v>
      </c>
      <c r="I34" s="20"/>
    </row>
    <row r="35" spans="2:9" ht="12.75">
      <c r="B35" s="8"/>
      <c r="C35" s="14"/>
      <c r="D35" s="21"/>
      <c r="E35" s="20"/>
      <c r="F35" s="8" t="s">
        <v>80</v>
      </c>
      <c r="G35" s="14" t="s">
        <v>81</v>
      </c>
      <c r="H35" s="34">
        <v>22</v>
      </c>
      <c r="I35" s="37"/>
    </row>
    <row r="36" spans="2:9" ht="12.75">
      <c r="B36" s="23" t="s">
        <v>82</v>
      </c>
      <c r="C36" s="24" t="s">
        <v>83</v>
      </c>
      <c r="D36" s="38">
        <f>D8-D34</f>
        <v>43.5411291866028</v>
      </c>
      <c r="E36" s="37"/>
      <c r="F36" s="8" t="s">
        <v>84</v>
      </c>
      <c r="G36" s="14" t="s">
        <v>85</v>
      </c>
      <c r="H36" s="52">
        <v>90</v>
      </c>
      <c r="I36" s="20"/>
    </row>
    <row r="37" spans="2:9" ht="12.75">
      <c r="B37" s="8"/>
      <c r="C37" s="14"/>
      <c r="D37" s="21"/>
      <c r="E37" s="20"/>
      <c r="F37" s="23" t="s">
        <v>86</v>
      </c>
      <c r="G37" s="24" t="s">
        <v>87</v>
      </c>
      <c r="H37" s="38">
        <f>H34*H35*H36</f>
        <v>39600</v>
      </c>
      <c r="I37" s="37"/>
    </row>
    <row r="38" spans="2:9" ht="12.75">
      <c r="B38" s="30"/>
      <c r="C38" s="31"/>
      <c r="D38" s="53"/>
      <c r="E38" s="29"/>
      <c r="F38" s="30" t="s">
        <v>88</v>
      </c>
      <c r="G38" s="31" t="s">
        <v>89</v>
      </c>
      <c r="H38" s="54">
        <f>H32/H37</f>
        <v>0.7676767676767676</v>
      </c>
      <c r="I38" s="29"/>
    </row>
    <row r="39" spans="2:9" ht="12.75">
      <c r="B39" s="55" t="s">
        <v>90</v>
      </c>
      <c r="C39" s="56" t="s">
        <v>91</v>
      </c>
      <c r="D39" s="31"/>
      <c r="E39" s="31"/>
      <c r="F39" s="31"/>
      <c r="G39" s="31"/>
      <c r="H39" s="31"/>
      <c r="I39" s="29"/>
    </row>
    <row r="40" spans="2:9" ht="12.75">
      <c r="B40" s="57" t="s">
        <v>92</v>
      </c>
      <c r="C40" s="58" t="s">
        <v>93</v>
      </c>
      <c r="D40" s="31"/>
      <c r="E40" s="31"/>
      <c r="F40" s="59" t="s">
        <v>94</v>
      </c>
      <c r="G40" s="59" t="s">
        <v>94</v>
      </c>
      <c r="H40" s="31"/>
      <c r="I4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van Lieshout</dc:creator>
  <cp:keywords/>
  <dc:description/>
  <cp:lastModifiedBy>Olivier van Lieshout</cp:lastModifiedBy>
  <dcterms:created xsi:type="dcterms:W3CDTF">2011-01-21T10:13:01Z</dcterms:created>
  <dcterms:modified xsi:type="dcterms:W3CDTF">2011-01-21T10:16:53Z</dcterms:modified>
  <cp:category/>
  <cp:version/>
  <cp:contentType/>
  <cp:contentStatus/>
</cp:coreProperties>
</file>