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livier's Documents\BI\BI Nigeria\BI Seminar 2014\"/>
    </mc:Choice>
  </mc:AlternateContent>
  <bookViews>
    <workbookView xWindow="0" yWindow="0" windowWidth="15120" windowHeight="8775" activeTab="2"/>
  </bookViews>
  <sheets>
    <sheet name="SKU" sheetId="5" r:id="rId1"/>
    <sheet name="CB1" sheetId="3" r:id="rId2"/>
    <sheet name="CB4" sheetId="1" r:id="rId3"/>
  </sheets>
  <externalReferences>
    <externalReference r:id="rId4"/>
    <externalReference r:id="rId5"/>
  </externalReferences>
  <definedNames>
    <definedName name="_Fill" localSheetId="1" hidden="1">#REF!</definedName>
    <definedName name="_Fill" localSheetId="2" hidden="1">#REF!</definedName>
    <definedName name="_Fill" hidden="1">#REF!</definedName>
    <definedName name="_Olivier" hidden="1">#REF!</definedName>
    <definedName name="_xlnm.Print_Area" localSheetId="2">'CB4'!$B$2:$AK$109</definedName>
    <definedName name="ROE" localSheetId="1">'CB1'!$L$1</definedName>
    <definedName name="ROE">'[1]CB4 Delightful'!$K$1</definedName>
    <definedName name="ROEL">#REF!</definedName>
    <definedName name="VAT" localSheetId="2">'CB4'!$P$50</definedName>
    <definedName name="VAT">'[2]CB4 S0-HBB-400k'!$Q$54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D5" i="1"/>
  <c r="E20" i="5"/>
  <c r="C21" i="5"/>
  <c r="E21" i="5"/>
  <c r="C22" i="5"/>
  <c r="G21" i="5"/>
  <c r="G12" i="5"/>
  <c r="G4" i="5"/>
  <c r="G5" i="5"/>
  <c r="G6" i="5"/>
  <c r="G7" i="5"/>
  <c r="G8" i="5"/>
  <c r="G9" i="5"/>
  <c r="G10" i="5"/>
  <c r="G11" i="5"/>
  <c r="G3" i="5"/>
  <c r="C5" i="5"/>
  <c r="D9" i="5"/>
  <c r="D10" i="5"/>
  <c r="D11" i="5"/>
  <c r="R14" i="1" l="1"/>
  <c r="S14" i="1" s="1"/>
  <c r="T14" i="1" s="1"/>
  <c r="U14" i="1" s="1"/>
  <c r="V14" i="1" s="1"/>
  <c r="D4" i="5"/>
  <c r="D5" i="5"/>
  <c r="D6" i="5"/>
  <c r="D7" i="5"/>
  <c r="D8" i="5"/>
  <c r="D3" i="5"/>
  <c r="K3" i="5"/>
  <c r="I15" i="5"/>
  <c r="I17" i="5"/>
  <c r="J17" i="5"/>
  <c r="D12" i="5" l="1"/>
  <c r="E5" i="1"/>
  <c r="E6" i="1"/>
  <c r="E7" i="1"/>
  <c r="E8" i="1"/>
  <c r="E9" i="1"/>
  <c r="E12" i="1"/>
  <c r="E14" i="1"/>
  <c r="E4" i="1"/>
  <c r="H15" i="3" l="1"/>
  <c r="I4" i="5" l="1"/>
  <c r="H4" i="5" s="1"/>
  <c r="F4" i="5" s="1"/>
  <c r="I5" i="5"/>
  <c r="H5" i="5" s="1"/>
  <c r="F5" i="5" s="1"/>
  <c r="I6" i="5"/>
  <c r="H6" i="5" s="1"/>
  <c r="F6" i="5" s="1"/>
  <c r="I7" i="5"/>
  <c r="H7" i="5" s="1"/>
  <c r="F7" i="5" s="1"/>
  <c r="I8" i="5"/>
  <c r="H8" i="5" s="1"/>
  <c r="F8" i="5" s="1"/>
  <c r="I9" i="5"/>
  <c r="H9" i="5" s="1"/>
  <c r="F9" i="5" s="1"/>
  <c r="I10" i="5"/>
  <c r="H10" i="5" s="1"/>
  <c r="F10" i="5" s="1"/>
  <c r="I11" i="5"/>
  <c r="H11" i="5" s="1"/>
  <c r="F11" i="5" s="1"/>
  <c r="I3" i="5"/>
  <c r="J12" i="5"/>
  <c r="K4" i="5"/>
  <c r="K5" i="5"/>
  <c r="K6" i="5"/>
  <c r="K7" i="5"/>
  <c r="K8" i="5"/>
  <c r="K9" i="5"/>
  <c r="K10" i="5"/>
  <c r="K11" i="5"/>
  <c r="B2" i="3"/>
  <c r="D14" i="1"/>
  <c r="Q22" i="1" s="1"/>
  <c r="H21" i="3"/>
  <c r="H20" i="3"/>
  <c r="I37" i="3"/>
  <c r="I28" i="3"/>
  <c r="I34" i="3"/>
  <c r="H28" i="3"/>
  <c r="D6" i="3"/>
  <c r="D22" i="3"/>
  <c r="D21" i="3"/>
  <c r="D17" i="3"/>
  <c r="H34" i="3"/>
  <c r="D14" i="3"/>
  <c r="D12" i="3"/>
  <c r="D8" i="3"/>
  <c r="D7" i="3"/>
  <c r="P94" i="1"/>
  <c r="K12" i="5" l="1"/>
  <c r="E12" i="5" s="1"/>
  <c r="H3" i="5"/>
  <c r="F3" i="5" s="1"/>
  <c r="F12" i="5" l="1"/>
  <c r="D18" i="3"/>
  <c r="H36" i="3" l="1"/>
  <c r="H37" i="3" s="1"/>
  <c r="H38" i="3" s="1"/>
  <c r="H13" i="3"/>
  <c r="D13" i="3"/>
  <c r="D15" i="3" s="1"/>
  <c r="H4" i="3"/>
  <c r="D19" i="3" l="1"/>
  <c r="D9" i="3"/>
  <c r="H6" i="3" s="1"/>
  <c r="D23" i="3"/>
  <c r="H17" i="3"/>
  <c r="D26" i="3" l="1"/>
  <c r="E13" i="3" s="1"/>
  <c r="H22" i="3"/>
  <c r="E14" i="3" l="1"/>
  <c r="D28" i="3"/>
  <c r="D29" i="3" s="1"/>
  <c r="E26" i="3"/>
  <c r="E23" i="3"/>
  <c r="D31" i="3"/>
  <c r="E19" i="3"/>
  <c r="E15" i="3"/>
  <c r="H24" i="3"/>
  <c r="I22" i="3" s="1"/>
  <c r="H29" i="3" l="1"/>
  <c r="I24" i="3"/>
  <c r="I20" i="3"/>
  <c r="H26" i="3"/>
  <c r="I13" i="3"/>
  <c r="I21" i="3"/>
  <c r="I17" i="3"/>
  <c r="D32" i="3" l="1"/>
  <c r="H31" i="3"/>
  <c r="H32" i="3" s="1"/>
  <c r="H7" i="3"/>
  <c r="H8" i="3" s="1"/>
  <c r="H39" i="3" l="1"/>
  <c r="H9" i="3"/>
  <c r="H40" i="3"/>
  <c r="D34" i="3"/>
  <c r="E32" i="3" s="1"/>
  <c r="E34" i="3" l="1"/>
  <c r="D36" i="3"/>
  <c r="E36" i="3" s="1"/>
  <c r="E31" i="3"/>
  <c r="AA85" i="1" l="1"/>
  <c r="AA77" i="1"/>
  <c r="AA73" i="1"/>
  <c r="Q74" i="1"/>
  <c r="AF72" i="1"/>
  <c r="AB72" i="1"/>
  <c r="AA72" i="1"/>
  <c r="O70" i="1"/>
  <c r="O69" i="1"/>
  <c r="O67" i="1"/>
  <c r="O66" i="1"/>
  <c r="Q63" i="1"/>
  <c r="V62" i="1"/>
  <c r="AF44" i="1" s="1"/>
  <c r="Q62" i="1"/>
  <c r="S54" i="1"/>
  <c r="AC86" i="1" s="1"/>
  <c r="R54" i="1"/>
  <c r="R95" i="1" s="1"/>
  <c r="Q54" i="1"/>
  <c r="AA44" i="1"/>
  <c r="R43" i="1"/>
  <c r="Q41" i="1"/>
  <c r="Q76" i="1" s="1"/>
  <c r="R76" i="1" s="1"/>
  <c r="AF37" i="1"/>
  <c r="V38" i="1"/>
  <c r="R38" i="1"/>
  <c r="R73" i="1" s="1"/>
  <c r="Q38" i="1"/>
  <c r="G31" i="1"/>
  <c r="D29" i="1"/>
  <c r="D28" i="1"/>
  <c r="G28" i="1" s="1"/>
  <c r="S25" i="1"/>
  <c r="R25" i="1"/>
  <c r="L23" i="1"/>
  <c r="G23" i="1"/>
  <c r="V22" i="1"/>
  <c r="U22" i="1"/>
  <c r="T22" i="1"/>
  <c r="S22" i="1"/>
  <c r="R22" i="1"/>
  <c r="J22" i="1"/>
  <c r="J24" i="1" s="1"/>
  <c r="L24" i="1" s="1"/>
  <c r="G22" i="1"/>
  <c r="AA23" i="1"/>
  <c r="V21" i="1"/>
  <c r="U21" i="1"/>
  <c r="T21" i="1"/>
  <c r="S21" i="1"/>
  <c r="R21" i="1"/>
  <c r="Q21" i="1"/>
  <c r="I21" i="1"/>
  <c r="C21" i="1"/>
  <c r="Q20" i="1"/>
  <c r="AA38" i="1" s="1"/>
  <c r="AF21" i="1"/>
  <c r="AF2" i="1" s="1"/>
  <c r="V19" i="1"/>
  <c r="V73" i="1" s="1"/>
  <c r="R19" i="1"/>
  <c r="AB37" i="1" s="1"/>
  <c r="AB21" i="1" s="1"/>
  <c r="AB2" i="1" s="1"/>
  <c r="Q19" i="1"/>
  <c r="AA37" i="1" s="1"/>
  <c r="AA21" i="1" s="1"/>
  <c r="AA2" i="1" s="1"/>
  <c r="H19" i="1"/>
  <c r="G19" i="1"/>
  <c r="Q15" i="1"/>
  <c r="Q46" i="1" s="1"/>
  <c r="R13" i="1"/>
  <c r="S13" i="1" s="1"/>
  <c r="R12" i="1"/>
  <c r="K14" i="1"/>
  <c r="Q44" i="1" s="1"/>
  <c r="Q25" i="1" s="1"/>
  <c r="S30" i="1"/>
  <c r="T30" i="1" s="1"/>
  <c r="U30" i="1" s="1"/>
  <c r="V30" i="1" s="1"/>
  <c r="T9" i="1"/>
  <c r="Q7" i="1"/>
  <c r="R6" i="1"/>
  <c r="S6" i="1" s="1"/>
  <c r="T6" i="1" s="1"/>
  <c r="U6" i="1" s="1"/>
  <c r="V6" i="1" s="1"/>
  <c r="Q5" i="1"/>
  <c r="T4" i="1"/>
  <c r="U4" i="1" s="1"/>
  <c r="V4" i="1" s="1"/>
  <c r="AA3" i="1"/>
  <c r="R3" i="1"/>
  <c r="R20" i="1" s="1"/>
  <c r="V2" i="1"/>
  <c r="R2" i="1"/>
  <c r="B1" i="5" s="1"/>
  <c r="Q2" i="1"/>
  <c r="Q8" i="1" l="1"/>
  <c r="Q48" i="1" s="1"/>
  <c r="Q94" i="1" s="1"/>
  <c r="R23" i="1"/>
  <c r="R52" i="1" s="1"/>
  <c r="R59" i="1" s="1"/>
  <c r="V23" i="1"/>
  <c r="V52" i="1" s="1"/>
  <c r="V59" i="1" s="1"/>
  <c r="T27" i="1"/>
  <c r="T62" i="1" s="1"/>
  <c r="R15" i="1"/>
  <c r="R46" i="1" s="1"/>
  <c r="T23" i="1"/>
  <c r="T52" i="1" s="1"/>
  <c r="T59" i="1" s="1"/>
  <c r="U27" i="1"/>
  <c r="S3" i="1"/>
  <c r="T3" i="1" s="1"/>
  <c r="AA22" i="1"/>
  <c r="L22" i="1"/>
  <c r="L25" i="1" s="1"/>
  <c r="AA75" i="1" s="1"/>
  <c r="Q26" i="1"/>
  <c r="Q53" i="1" s="1"/>
  <c r="AB86" i="1"/>
  <c r="S23" i="1"/>
  <c r="S52" i="1" s="1"/>
  <c r="S59" i="1" s="1"/>
  <c r="J25" i="1"/>
  <c r="T13" i="1"/>
  <c r="S7" i="1"/>
  <c r="R5" i="1"/>
  <c r="T54" i="1"/>
  <c r="AD86" i="1" s="1"/>
  <c r="U9" i="1"/>
  <c r="R7" i="1"/>
  <c r="S76" i="1"/>
  <c r="Q23" i="1"/>
  <c r="U23" i="1"/>
  <c r="S74" i="1"/>
  <c r="AB38" i="1"/>
  <c r="R39" i="1"/>
  <c r="AB22" i="1"/>
  <c r="Q34" i="1"/>
  <c r="R34" i="1" s="1"/>
  <c r="S34" i="1" s="1"/>
  <c r="T34" i="1" s="1"/>
  <c r="U34" i="1" s="1"/>
  <c r="V34" i="1" s="1"/>
  <c r="R74" i="1"/>
  <c r="AB73" i="1"/>
  <c r="AB3" i="1"/>
  <c r="S12" i="1"/>
  <c r="S95" i="1"/>
  <c r="Q28" i="1"/>
  <c r="R27" i="1"/>
  <c r="Q33" i="1"/>
  <c r="P33" i="1"/>
  <c r="Q39" i="1"/>
  <c r="AA86" i="1"/>
  <c r="Q95" i="1"/>
  <c r="Q80" i="1"/>
  <c r="Q47" i="1" s="1"/>
  <c r="AA13" i="1" s="1"/>
  <c r="S27" i="1"/>
  <c r="P34" i="1"/>
  <c r="G29" i="1"/>
  <c r="G30" i="1" s="1"/>
  <c r="Q10" i="1" l="1"/>
  <c r="T95" i="1"/>
  <c r="AC73" i="1"/>
  <c r="AA93" i="1"/>
  <c r="AF40" i="1"/>
  <c r="AA41" i="1"/>
  <c r="AA45" i="1" s="1"/>
  <c r="AA46" i="1" s="1"/>
  <c r="AD40" i="1"/>
  <c r="AB40" i="1"/>
  <c r="AD44" i="1"/>
  <c r="S20" i="1"/>
  <c r="AC22" i="1" s="1"/>
  <c r="AC3" i="1"/>
  <c r="AC40" i="1"/>
  <c r="U62" i="1"/>
  <c r="AE44" i="1"/>
  <c r="G32" i="1"/>
  <c r="AA92" i="1" s="1"/>
  <c r="I30" i="1"/>
  <c r="Q35" i="1"/>
  <c r="R33" i="1"/>
  <c r="Q36" i="1"/>
  <c r="AA94" i="1" s="1"/>
  <c r="AA17" i="1"/>
  <c r="R62" i="1"/>
  <c r="AB44" i="1"/>
  <c r="AE40" i="1"/>
  <c r="U52" i="1"/>
  <c r="U59" i="1" s="1"/>
  <c r="T76" i="1"/>
  <c r="V9" i="1"/>
  <c r="V54" i="1" s="1"/>
  <c r="U54" i="1"/>
  <c r="U13" i="1"/>
  <c r="T7" i="1"/>
  <c r="R80" i="1"/>
  <c r="R47" i="1" s="1"/>
  <c r="AB13" i="1" s="1"/>
  <c r="AB17" i="1" s="1"/>
  <c r="R28" i="1"/>
  <c r="R26" i="1"/>
  <c r="Q92" i="1"/>
  <c r="Q93" i="1" s="1"/>
  <c r="T12" i="1"/>
  <c r="S5" i="1"/>
  <c r="S8" i="1" s="1"/>
  <c r="S15" i="1"/>
  <c r="Q49" i="1"/>
  <c r="Q99" i="1"/>
  <c r="Q77" i="1"/>
  <c r="AA40" i="1"/>
  <c r="Q52" i="1"/>
  <c r="Q59" i="1" s="1"/>
  <c r="S39" i="1"/>
  <c r="AD73" i="1"/>
  <c r="T74" i="1"/>
  <c r="T20" i="1"/>
  <c r="AD3" i="1"/>
  <c r="U3" i="1"/>
  <c r="Q16" i="1"/>
  <c r="Q17" i="1" s="1"/>
  <c r="Q31" i="1"/>
  <c r="S62" i="1"/>
  <c r="AC44" i="1"/>
  <c r="Q50" i="1"/>
  <c r="R8" i="1"/>
  <c r="AC38" i="1" l="1"/>
  <c r="R48" i="1"/>
  <c r="R10" i="1"/>
  <c r="T39" i="1"/>
  <c r="AD38" i="1"/>
  <c r="AD22" i="1"/>
  <c r="R77" i="1"/>
  <c r="Q78" i="1"/>
  <c r="S48" i="1"/>
  <c r="S94" i="1" s="1"/>
  <c r="S10" i="1"/>
  <c r="S31" i="1" s="1"/>
  <c r="R92" i="1"/>
  <c r="R93" i="1" s="1"/>
  <c r="S26" i="1"/>
  <c r="S28" i="1"/>
  <c r="AF86" i="1"/>
  <c r="V95" i="1"/>
  <c r="U12" i="1"/>
  <c r="T15" i="1"/>
  <c r="T5" i="1"/>
  <c r="T8" i="1" s="1"/>
  <c r="U76" i="1"/>
  <c r="AE73" i="1"/>
  <c r="U74" i="1"/>
  <c r="U20" i="1"/>
  <c r="AE3" i="1"/>
  <c r="V3" i="1"/>
  <c r="Q51" i="1"/>
  <c r="U7" i="1"/>
  <c r="V13" i="1"/>
  <c r="V7" i="1" s="1"/>
  <c r="AA95" i="1"/>
  <c r="S46" i="1"/>
  <c r="R53" i="1"/>
  <c r="AB93" i="1"/>
  <c r="AB41" i="1"/>
  <c r="AB45" i="1" s="1"/>
  <c r="AB46" i="1" s="1"/>
  <c r="AE86" i="1"/>
  <c r="U95" i="1"/>
  <c r="R35" i="1"/>
  <c r="R36" i="1"/>
  <c r="AB94" i="1" s="1"/>
  <c r="S33" i="1"/>
  <c r="Q56" i="1"/>
  <c r="S16" i="1" l="1"/>
  <c r="S17" i="1" s="1"/>
  <c r="U15" i="1"/>
  <c r="V12" i="1"/>
  <c r="U5" i="1"/>
  <c r="U8" i="1" s="1"/>
  <c r="S92" i="1"/>
  <c r="S93" i="1" s="1"/>
  <c r="T26" i="1"/>
  <c r="T28" i="1"/>
  <c r="AB95" i="1"/>
  <c r="AC93" i="1"/>
  <c r="S53" i="1"/>
  <c r="S56" i="1" s="1"/>
  <c r="AC41" i="1"/>
  <c r="AC45" i="1" s="1"/>
  <c r="AC46" i="1" s="1"/>
  <c r="T10" i="1"/>
  <c r="T31" i="1" s="1"/>
  <c r="T48" i="1"/>
  <c r="T94" i="1" s="1"/>
  <c r="S77" i="1"/>
  <c r="R78" i="1"/>
  <c r="R31" i="1"/>
  <c r="R56" i="1"/>
  <c r="R16" i="1"/>
  <c r="R17" i="1" s="1"/>
  <c r="Q57" i="1"/>
  <c r="AA4" i="1" s="1"/>
  <c r="AA12" i="1"/>
  <c r="Q55" i="1"/>
  <c r="AA16" i="1"/>
  <c r="V76" i="1"/>
  <c r="S99" i="1"/>
  <c r="S36" i="1"/>
  <c r="AC94" i="1" s="1"/>
  <c r="T33" i="1"/>
  <c r="S35" i="1"/>
  <c r="V74" i="1"/>
  <c r="AF73" i="1"/>
  <c r="AF3" i="1"/>
  <c r="V20" i="1"/>
  <c r="S50" i="1"/>
  <c r="S80" i="1"/>
  <c r="S47" i="1" s="1"/>
  <c r="AC13" i="1" s="1"/>
  <c r="AE38" i="1"/>
  <c r="AE22" i="1"/>
  <c r="U39" i="1"/>
  <c r="T46" i="1"/>
  <c r="R94" i="1"/>
  <c r="S49" i="1" s="1"/>
  <c r="R50" i="1"/>
  <c r="T16" i="1" l="1"/>
  <c r="T17" i="1" s="1"/>
  <c r="S51" i="1"/>
  <c r="AC16" i="1" s="1"/>
  <c r="D11" i="1"/>
  <c r="E11" i="1" s="1"/>
  <c r="AA8" i="1"/>
  <c r="AC17" i="1"/>
  <c r="S55" i="1"/>
  <c r="AA14" i="1"/>
  <c r="R57" i="1"/>
  <c r="AB4" i="1" s="1"/>
  <c r="AB12" i="1"/>
  <c r="AB14" i="1" s="1"/>
  <c r="U48" i="1"/>
  <c r="U94" i="1" s="1"/>
  <c r="U10" i="1"/>
  <c r="U31" i="1" s="1"/>
  <c r="R99" i="1"/>
  <c r="R49" i="1"/>
  <c r="R51" i="1" s="1"/>
  <c r="AF38" i="1"/>
  <c r="AF22" i="1"/>
  <c r="AH22" i="1" s="1"/>
  <c r="AI22" i="1" s="1"/>
  <c r="AJ22" i="1" s="1"/>
  <c r="AK22" i="1" s="1"/>
  <c r="AL22" i="1" s="1"/>
  <c r="V39" i="1"/>
  <c r="Q58" i="1"/>
  <c r="Q90" i="1"/>
  <c r="T92" i="1"/>
  <c r="T93" i="1" s="1"/>
  <c r="U28" i="1"/>
  <c r="U26" i="1"/>
  <c r="V5" i="1"/>
  <c r="V8" i="1" s="1"/>
  <c r="V15" i="1"/>
  <c r="T99" i="1"/>
  <c r="T49" i="1"/>
  <c r="AA18" i="1"/>
  <c r="D16" i="1"/>
  <c r="E16" i="1" s="1"/>
  <c r="AC95" i="1"/>
  <c r="T50" i="1"/>
  <c r="T80" i="1"/>
  <c r="T47" i="1" s="1"/>
  <c r="AD13" i="1" s="1"/>
  <c r="T36" i="1"/>
  <c r="AD94" i="1" s="1"/>
  <c r="U33" i="1"/>
  <c r="T35" i="1"/>
  <c r="T77" i="1"/>
  <c r="S78" i="1"/>
  <c r="S57" i="1"/>
  <c r="AC12" i="1"/>
  <c r="AC14" i="1" s="1"/>
  <c r="AD93" i="1"/>
  <c r="AD41" i="1"/>
  <c r="AD45" i="1" s="1"/>
  <c r="AD46" i="1" s="1"/>
  <c r="T53" i="1"/>
  <c r="T56" i="1" s="1"/>
  <c r="U46" i="1"/>
  <c r="F11" i="1" l="1"/>
  <c r="U16" i="1"/>
  <c r="U17" i="1" s="1"/>
  <c r="S58" i="1"/>
  <c r="S60" i="1" s="1"/>
  <c r="AC24" i="1" s="1"/>
  <c r="AC25" i="1" s="1"/>
  <c r="AC18" i="1"/>
  <c r="AD17" i="1"/>
  <c r="AB8" i="1"/>
  <c r="AC4" i="1"/>
  <c r="V46" i="1"/>
  <c r="U50" i="1"/>
  <c r="U80" i="1"/>
  <c r="U47" i="1" s="1"/>
  <c r="AE13" i="1" s="1"/>
  <c r="AE17" i="1" s="1"/>
  <c r="U77" i="1"/>
  <c r="T78" i="1"/>
  <c r="AD95" i="1"/>
  <c r="V48" i="1"/>
  <c r="V94" i="1" s="1"/>
  <c r="V10" i="1"/>
  <c r="V31" i="1" s="1"/>
  <c r="T51" i="1"/>
  <c r="U53" i="1"/>
  <c r="U56" i="1" s="1"/>
  <c r="AE93" i="1"/>
  <c r="AE41" i="1"/>
  <c r="AE45" i="1" s="1"/>
  <c r="AE46" i="1" s="1"/>
  <c r="U49" i="1"/>
  <c r="U99" i="1"/>
  <c r="T57" i="1"/>
  <c r="AD12" i="1"/>
  <c r="U35" i="1"/>
  <c r="U36" i="1"/>
  <c r="AE94" i="1" s="1"/>
  <c r="V33" i="1"/>
  <c r="K16" i="1"/>
  <c r="F9" i="1"/>
  <c r="F16" i="1"/>
  <c r="F12" i="1"/>
  <c r="F4" i="1"/>
  <c r="F5" i="1"/>
  <c r="F7" i="1"/>
  <c r="F6" i="1"/>
  <c r="F14" i="1"/>
  <c r="F8" i="1"/>
  <c r="U92" i="1"/>
  <c r="U93" i="1" s="1"/>
  <c r="V28" i="1"/>
  <c r="V92" i="1" s="1"/>
  <c r="V93" i="1" s="1"/>
  <c r="V26" i="1"/>
  <c r="Q68" i="1"/>
  <c r="Q60" i="1"/>
  <c r="AA39" i="1"/>
  <c r="AA42" i="1" s="1"/>
  <c r="AA48" i="1" s="1"/>
  <c r="R55" i="1"/>
  <c r="R58" i="1" s="1"/>
  <c r="AB16" i="1"/>
  <c r="AC39" i="1" l="1"/>
  <c r="AC42" i="1" s="1"/>
  <c r="AC48" i="1" s="1"/>
  <c r="AE95" i="1"/>
  <c r="R68" i="1"/>
  <c r="S68" i="1" s="1"/>
  <c r="U51" i="1"/>
  <c r="U55" i="1" s="1"/>
  <c r="AA24" i="1"/>
  <c r="L14" i="1"/>
  <c r="L12" i="1"/>
  <c r="AC9" i="1"/>
  <c r="AF9" i="1"/>
  <c r="AB9" i="1"/>
  <c r="AB10" i="1" s="1"/>
  <c r="L5" i="1"/>
  <c r="AD9" i="1"/>
  <c r="K9" i="1"/>
  <c r="K7" i="1" s="1"/>
  <c r="L13" i="1"/>
  <c r="AE9" i="1"/>
  <c r="AA9" i="1"/>
  <c r="AB18" i="1"/>
  <c r="V35" i="1"/>
  <c r="V36" i="1"/>
  <c r="AF94" i="1" s="1"/>
  <c r="V77" i="1"/>
  <c r="V78" i="1" s="1"/>
  <c r="U78" i="1"/>
  <c r="T55" i="1"/>
  <c r="T58" i="1" s="1"/>
  <c r="AD16" i="1"/>
  <c r="AD18" i="1" s="1"/>
  <c r="V50" i="1"/>
  <c r="V80" i="1"/>
  <c r="V47" i="1" s="1"/>
  <c r="AF13" i="1" s="1"/>
  <c r="AF17" i="1" s="1"/>
  <c r="Z17" i="1" s="1"/>
  <c r="V53" i="1"/>
  <c r="V56" i="1" s="1"/>
  <c r="AF41" i="1"/>
  <c r="AF45" i="1" s="1"/>
  <c r="AF46" i="1" s="1"/>
  <c r="AF93" i="1"/>
  <c r="AD14" i="1"/>
  <c r="U57" i="1"/>
  <c r="AE12" i="1"/>
  <c r="AE14" i="1" s="1"/>
  <c r="R60" i="1"/>
  <c r="AB24" i="1" s="1"/>
  <c r="AB25" i="1" s="1"/>
  <c r="AB39" i="1"/>
  <c r="AB42" i="1" s="1"/>
  <c r="AB48" i="1" s="1"/>
  <c r="V49" i="1"/>
  <c r="V99" i="1"/>
  <c r="V16" i="1"/>
  <c r="V17" i="1" s="1"/>
  <c r="AC8" i="1"/>
  <c r="AD4" i="1"/>
  <c r="AE16" i="1" l="1"/>
  <c r="AE18" i="1" s="1"/>
  <c r="AF95" i="1"/>
  <c r="V51" i="1"/>
  <c r="V55" i="1" s="1"/>
  <c r="T60" i="1"/>
  <c r="AD24" i="1" s="1"/>
  <c r="AD25" i="1" s="1"/>
  <c r="AD39" i="1"/>
  <c r="AD42" i="1" s="1"/>
  <c r="AD48" i="1" s="1"/>
  <c r="L7" i="1"/>
  <c r="L16" i="1" s="1"/>
  <c r="Z13" i="1"/>
  <c r="Q43" i="1"/>
  <c r="K6" i="1"/>
  <c r="J5" i="1"/>
  <c r="P66" i="1" s="1"/>
  <c r="T66" i="1" s="1"/>
  <c r="AD76" i="1" s="1"/>
  <c r="AA25" i="1"/>
  <c r="U58" i="1"/>
  <c r="AE4" i="1"/>
  <c r="AD8" i="1"/>
  <c r="AD10" i="1" s="1"/>
  <c r="V57" i="1"/>
  <c r="AF12" i="1"/>
  <c r="AF14" i="1" s="1"/>
  <c r="Z9" i="1"/>
  <c r="AA10" i="1"/>
  <c r="AC10" i="1"/>
  <c r="T68" i="1"/>
  <c r="Z12" i="1" l="1"/>
  <c r="Z14" i="1" s="1"/>
  <c r="P69" i="1"/>
  <c r="R69" i="1" s="1"/>
  <c r="S66" i="1"/>
  <c r="AC76" i="1" s="1"/>
  <c r="Q66" i="1"/>
  <c r="AA76" i="1" s="1"/>
  <c r="AA78" i="1" s="1"/>
  <c r="R66" i="1"/>
  <c r="AB76" i="1" s="1"/>
  <c r="U68" i="1"/>
  <c r="AF16" i="1"/>
  <c r="U60" i="1"/>
  <c r="AE24" i="1" s="1"/>
  <c r="AB28" i="1" s="1"/>
  <c r="AE39" i="1"/>
  <c r="AE42" i="1" s="1"/>
  <c r="AE48" i="1" s="1"/>
  <c r="U66" i="1"/>
  <c r="AE76" i="1" s="1"/>
  <c r="AF18" i="1"/>
  <c r="Z16" i="1"/>
  <c r="Z18" i="1" s="1"/>
  <c r="AA26" i="1"/>
  <c r="Q89" i="1"/>
  <c r="Q71" i="1"/>
  <c r="Q61" i="1"/>
  <c r="Q64" i="1" s="1"/>
  <c r="AF4" i="1"/>
  <c r="AE8" i="1"/>
  <c r="AE10" i="1" s="1"/>
  <c r="T69" i="1"/>
  <c r="L6" i="1"/>
  <c r="J6" i="1"/>
  <c r="P67" i="1" s="1"/>
  <c r="U67" i="1" s="1"/>
  <c r="AE84" i="1" s="1"/>
  <c r="G24" i="1"/>
  <c r="G25" i="1" s="1"/>
  <c r="AA83" i="1" s="1"/>
  <c r="V58" i="1"/>
  <c r="V69" i="1" l="1"/>
  <c r="U69" i="1"/>
  <c r="AE77" i="1" s="1"/>
  <c r="S69" i="1"/>
  <c r="AC77" i="1" s="1"/>
  <c r="P70" i="1"/>
  <c r="V70" i="1" s="1"/>
  <c r="AF85" i="1" s="1"/>
  <c r="S67" i="1"/>
  <c r="AC84" i="1" s="1"/>
  <c r="Q67" i="1"/>
  <c r="AA84" i="1" s="1"/>
  <c r="AA87" i="1" s="1"/>
  <c r="R67" i="1"/>
  <c r="AB84" i="1" s="1"/>
  <c r="T67" i="1"/>
  <c r="AD84" i="1" s="1"/>
  <c r="R61" i="1"/>
  <c r="Q79" i="1"/>
  <c r="Q85" i="1" s="1"/>
  <c r="Q86" i="1" s="1"/>
  <c r="AB77" i="1"/>
  <c r="AB78" i="1" s="1"/>
  <c r="AF77" i="1"/>
  <c r="AF8" i="1"/>
  <c r="Z4" i="1"/>
  <c r="AD77" i="1"/>
  <c r="AA30" i="1"/>
  <c r="AB26" i="1"/>
  <c r="AE25" i="1"/>
  <c r="V60" i="1"/>
  <c r="AF24" i="1" s="1"/>
  <c r="V67" i="1"/>
  <c r="AF84" i="1" s="1"/>
  <c r="AF39" i="1"/>
  <c r="AF42" i="1" s="1"/>
  <c r="Z48" i="1" s="1"/>
  <c r="V66" i="1"/>
  <c r="AF76" i="1" s="1"/>
  <c r="AA79" i="1"/>
  <c r="AA80" i="1" s="1"/>
  <c r="AA88" i="1"/>
  <c r="Q91" i="1"/>
  <c r="Q100" i="1" s="1"/>
  <c r="R89" i="1"/>
  <c r="AA5" i="1"/>
  <c r="V68" i="1"/>
  <c r="R70" i="1" l="1"/>
  <c r="AB85" i="1" s="1"/>
  <c r="S70" i="1"/>
  <c r="S63" i="1" s="1"/>
  <c r="T70" i="1"/>
  <c r="AD85" i="1" s="1"/>
  <c r="U70" i="1"/>
  <c r="U63" i="1" s="1"/>
  <c r="AB87" i="1"/>
  <c r="AA89" i="1"/>
  <c r="R71" i="1"/>
  <c r="AB79" i="1" s="1"/>
  <c r="AB80" i="1" s="1"/>
  <c r="Q102" i="1"/>
  <c r="V63" i="1"/>
  <c r="AB5" i="1"/>
  <c r="AA6" i="1"/>
  <c r="S89" i="1"/>
  <c r="AC26" i="1"/>
  <c r="AB30" i="1"/>
  <c r="S71" i="1"/>
  <c r="AF10" i="1"/>
  <c r="Z8" i="1"/>
  <c r="Z10" i="1" s="1"/>
  <c r="R63" i="1"/>
  <c r="R90" i="1" s="1"/>
  <c r="AA28" i="1"/>
  <c r="V71" i="1"/>
  <c r="AF25" i="1"/>
  <c r="AH24" i="1"/>
  <c r="AC78" i="1"/>
  <c r="AE85" i="1" l="1"/>
  <c r="T63" i="1"/>
  <c r="T71" i="1"/>
  <c r="S90" i="1"/>
  <c r="S91" i="1" s="1"/>
  <c r="S100" i="1" s="1"/>
  <c r="AC85" i="1"/>
  <c r="AC87" i="1" s="1"/>
  <c r="AD87" i="1" s="1"/>
  <c r="U71" i="1"/>
  <c r="AE79" i="1" s="1"/>
  <c r="AB88" i="1"/>
  <c r="AB89" i="1" s="1"/>
  <c r="R64" i="1"/>
  <c r="R79" i="1" s="1"/>
  <c r="R85" i="1" s="1"/>
  <c r="R86" i="1" s="1"/>
  <c r="AF79" i="1"/>
  <c r="AF88" i="1"/>
  <c r="AC88" i="1"/>
  <c r="AC79" i="1"/>
  <c r="AC80" i="1" s="1"/>
  <c r="R91" i="1"/>
  <c r="R100" i="1" s="1"/>
  <c r="AD78" i="1"/>
  <c r="AI24" i="1"/>
  <c r="AH25" i="1"/>
  <c r="AC30" i="1"/>
  <c r="AD26" i="1"/>
  <c r="AD79" i="1"/>
  <c r="AD88" i="1"/>
  <c r="T89" i="1"/>
  <c r="AC5" i="1"/>
  <c r="AB6" i="1"/>
  <c r="T90" i="1" l="1"/>
  <c r="U90" i="1" s="1"/>
  <c r="V90" i="1" s="1"/>
  <c r="AE88" i="1"/>
  <c r="AC89" i="1"/>
  <c r="S61" i="1"/>
  <c r="S64" i="1" s="1"/>
  <c r="T61" i="1" s="1"/>
  <c r="T64" i="1" s="1"/>
  <c r="U89" i="1"/>
  <c r="AD30" i="1"/>
  <c r="AE26" i="1"/>
  <c r="AD5" i="1"/>
  <c r="AC6" i="1"/>
  <c r="R102" i="1"/>
  <c r="AI25" i="1"/>
  <c r="AJ24" i="1"/>
  <c r="AD89" i="1"/>
  <c r="AE87" i="1"/>
  <c r="AD80" i="1"/>
  <c r="AE78" i="1"/>
  <c r="T91" i="1" l="1"/>
  <c r="T100" i="1" s="1"/>
  <c r="S79" i="1"/>
  <c r="S85" i="1" s="1"/>
  <c r="S86" i="1" s="1"/>
  <c r="S102" i="1" s="1"/>
  <c r="T79" i="1"/>
  <c r="T85" i="1" s="1"/>
  <c r="T86" i="1" s="1"/>
  <c r="U61" i="1"/>
  <c r="U64" i="1" s="1"/>
  <c r="AJ25" i="1"/>
  <c r="AK24" i="1"/>
  <c r="AB29" i="1" s="1"/>
  <c r="AE5" i="1"/>
  <c r="AD6" i="1"/>
  <c r="U91" i="1"/>
  <c r="U100" i="1" s="1"/>
  <c r="V89" i="1"/>
  <c r="V91" i="1" s="1"/>
  <c r="V100" i="1" s="1"/>
  <c r="AF78" i="1"/>
  <c r="AF80" i="1" s="1"/>
  <c r="AE80" i="1"/>
  <c r="AF87" i="1"/>
  <c r="AF89" i="1" s="1"/>
  <c r="AE89" i="1"/>
  <c r="AF26" i="1"/>
  <c r="AE30" i="1"/>
  <c r="T102" i="1" l="1"/>
  <c r="AH26" i="1"/>
  <c r="AF30" i="1"/>
  <c r="AF5" i="1"/>
  <c r="AF6" i="1" s="1"/>
  <c r="AE6" i="1"/>
  <c r="V61" i="1"/>
  <c r="V64" i="1" s="1"/>
  <c r="V79" i="1" s="1"/>
  <c r="V85" i="1" s="1"/>
  <c r="V86" i="1" s="1"/>
  <c r="V102" i="1" s="1"/>
  <c r="U79" i="1"/>
  <c r="U85" i="1" s="1"/>
  <c r="U86" i="1" s="1"/>
  <c r="U102" i="1" s="1"/>
  <c r="AK25" i="1"/>
  <c r="AA29" i="1" s="1"/>
  <c r="AL24" i="1"/>
  <c r="AL25" i="1" s="1"/>
  <c r="Z5" i="1" l="1"/>
  <c r="Z6" i="1" s="1"/>
  <c r="AH30" i="1"/>
  <c r="AI26" i="1"/>
  <c r="AI30" i="1" l="1"/>
  <c r="AJ26" i="1"/>
  <c r="AJ30" i="1" l="1"/>
  <c r="AK26" i="1"/>
  <c r="AL26" i="1" l="1"/>
  <c r="AK30" i="1"/>
  <c r="AC28" i="1" s="1"/>
</calcChain>
</file>

<file path=xl/comments1.xml><?xml version="1.0" encoding="utf-8"?>
<comments xmlns="http://schemas.openxmlformats.org/spreadsheetml/2006/main">
  <authors>
    <author>Olivier van Lieshout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Olivier van Lieshout:</t>
        </r>
        <r>
          <rPr>
            <sz val="9"/>
            <color indexed="81"/>
            <rFont val="Tahoma"/>
            <charset val="1"/>
          </rPr>
          <t xml:space="preserve">
Naira 3000 per trip for 500 kg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Olivier van Lieshout:</t>
        </r>
        <r>
          <rPr>
            <sz val="9"/>
            <color indexed="81"/>
            <rFont val="Tahoma"/>
            <charset val="1"/>
          </rPr>
          <t xml:space="preserve">
Macadams 120 gasoven
3.6 n per loaf (MS)
40 KVA genset N35 per KVA
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Olivier van Lieshout:</t>
        </r>
        <r>
          <rPr>
            <sz val="8"/>
            <color indexed="81"/>
            <rFont val="Tahoma"/>
            <family val="2"/>
          </rPr>
          <t xml:space="preserve">
Rent, spare parts, maintenance, marketing
</t>
        </r>
      </text>
    </comment>
  </commentList>
</comments>
</file>

<file path=xl/sharedStrings.xml><?xml version="1.0" encoding="utf-8"?>
<sst xmlns="http://schemas.openxmlformats.org/spreadsheetml/2006/main" count="341" uniqueCount="316">
  <si>
    <t>Table 1.  Investment &amp; Finance</t>
  </si>
  <si>
    <t>Table 2. P&amp;L</t>
  </si>
  <si>
    <t>Table 6. Profitability Ratios</t>
  </si>
  <si>
    <t>Investment</t>
  </si>
  <si>
    <t>Finance</t>
  </si>
  <si>
    <t>period</t>
  </si>
  <si>
    <t>A</t>
  </si>
  <si>
    <t>E</t>
  </si>
  <si>
    <t>Equity</t>
  </si>
  <si>
    <t xml:space="preserve">Cumulative profit after tax / </t>
  </si>
  <si>
    <t>Bakery Family</t>
  </si>
  <si>
    <t>VC large bread</t>
  </si>
  <si>
    <t>Initial Equity</t>
  </si>
  <si>
    <t>Other Partners</t>
  </si>
  <si>
    <t>Return on equity (ROE)</t>
  </si>
  <si>
    <t>Company owners</t>
  </si>
  <si>
    <t>VC other bakery products</t>
  </si>
  <si>
    <t>Grants</t>
  </si>
  <si>
    <t>Variable costs</t>
  </si>
  <si>
    <t xml:space="preserve">Cum. Profit after tax / </t>
  </si>
  <si>
    <t>Total equity</t>
  </si>
  <si>
    <t>Overhead (FC3) + TA</t>
  </si>
  <si>
    <t>Total Investment</t>
  </si>
  <si>
    <t>Total Cost</t>
  </si>
  <si>
    <t>Return on investment (ROI)</t>
  </si>
  <si>
    <t>B</t>
  </si>
  <si>
    <t>Working capital</t>
  </si>
  <si>
    <t>D</t>
  </si>
  <si>
    <t>Debt</t>
  </si>
  <si>
    <t>Procurement, production, sales cycle in weeks</t>
  </si>
  <si>
    <t>Training &amp; technical assistance</t>
  </si>
  <si>
    <t>Existing loans</t>
  </si>
  <si>
    <t>Operational working capital needed</t>
  </si>
  <si>
    <t xml:space="preserve">Profit after tax / </t>
  </si>
  <si>
    <t>New loans</t>
  </si>
  <si>
    <t>SALES EXW</t>
  </si>
  <si>
    <t>price/kg (ex VAT)</t>
  </si>
  <si>
    <t>Net Sales</t>
  </si>
  <si>
    <t>C</t>
  </si>
  <si>
    <t>Initial cost</t>
  </si>
  <si>
    <t>Total loan</t>
  </si>
  <si>
    <t>Return on Sales = Profitability</t>
  </si>
  <si>
    <t>Total Finance</t>
  </si>
  <si>
    <t>Capacity utilization (max 20 hrs / day)</t>
  </si>
  <si>
    <t>Contribution /</t>
  </si>
  <si>
    <t>Total Revenues</t>
  </si>
  <si>
    <t>EBITA</t>
  </si>
  <si>
    <t>Contribution margin</t>
  </si>
  <si>
    <t>EBITA %</t>
  </si>
  <si>
    <t>Table 1a. Collateral Assessment</t>
  </si>
  <si>
    <t>Table 3. Depreciation and Loans</t>
  </si>
  <si>
    <t>Table 7. IRR and NPV</t>
  </si>
  <si>
    <t>DEPRECIATION</t>
  </si>
  <si>
    <t>I</t>
  </si>
  <si>
    <t>contract value</t>
  </si>
  <si>
    <t>margin</t>
  </si>
  <si>
    <t>II</t>
  </si>
  <si>
    <t>contrib.</t>
  </si>
  <si>
    <t>in cash %</t>
  </si>
  <si>
    <t>cash</t>
  </si>
  <si>
    <t>Existing + renovated assets</t>
  </si>
  <si>
    <t>Investment in assets</t>
  </si>
  <si>
    <t>Supplies new assets</t>
  </si>
  <si>
    <t>Provides Existing assets</t>
  </si>
  <si>
    <t>New assets</t>
  </si>
  <si>
    <t>Net cash flow</t>
  </si>
  <si>
    <t>Gets management contract</t>
  </si>
  <si>
    <t>Provides other assets</t>
  </si>
  <si>
    <t>Total</t>
  </si>
  <si>
    <t>Discounted net cash flow</t>
  </si>
  <si>
    <t>Equity donation in cash</t>
  </si>
  <si>
    <t>LOAN REPAYMENT</t>
  </si>
  <si>
    <t>Accumulated discounted net cash flow</t>
  </si>
  <si>
    <t>Initial Financial Risk</t>
  </si>
  <si>
    <t>Loan disbursements</t>
  </si>
  <si>
    <t>NPV</t>
  </si>
  <si>
    <t>IRR</t>
  </si>
  <si>
    <t>PBP</t>
  </si>
  <si>
    <t>Interest</t>
  </si>
  <si>
    <t>Net Present Value / IRR (5 yrs)</t>
  </si>
  <si>
    <t>years</t>
  </si>
  <si>
    <t>III</t>
  </si>
  <si>
    <t>Financial Institution</t>
  </si>
  <si>
    <t>value</t>
  </si>
  <si>
    <t>Col. %</t>
  </si>
  <si>
    <t>coverage</t>
  </si>
  <si>
    <t>Principal repayment</t>
  </si>
  <si>
    <t>Net Present Value / IRR (10 yrs)</t>
  </si>
  <si>
    <t>Renovated assets as collateral</t>
  </si>
  <si>
    <t>Outstanding debt</t>
  </si>
  <si>
    <t>New assets as collateral</t>
  </si>
  <si>
    <t>COLLATERAL</t>
  </si>
  <si>
    <t>Collateral value</t>
  </si>
  <si>
    <t>Value renovated assets</t>
  </si>
  <si>
    <t>Loan</t>
  </si>
  <si>
    <t>Value new assets</t>
  </si>
  <si>
    <t>Value as collateral</t>
  </si>
  <si>
    <t>Loss of collateral</t>
  </si>
  <si>
    <t>Table 4. Cash Flow</t>
  </si>
  <si>
    <t>Table 8. Debt Service Ratio</t>
  </si>
  <si>
    <t>Investment flows</t>
  </si>
  <si>
    <t>Profit after tax</t>
  </si>
  <si>
    <t>Investments in fixed assets</t>
  </si>
  <si>
    <t>Depreciation</t>
  </si>
  <si>
    <t>Investment in current assets</t>
  </si>
  <si>
    <t>Equity + grants received</t>
  </si>
  <si>
    <t>Cash Flow for debt servicing</t>
  </si>
  <si>
    <t>Loan disbursements received</t>
  </si>
  <si>
    <t>Operational flows</t>
  </si>
  <si>
    <t>Loan installments</t>
  </si>
  <si>
    <t>Sales revenues, incl VAT</t>
  </si>
  <si>
    <t>Increase (decrease) in accounts receivable</t>
  </si>
  <si>
    <t>Debt servicing</t>
  </si>
  <si>
    <t>Production cost paid, incl VAT</t>
  </si>
  <si>
    <t>Increase (decrease) in accounts payable</t>
  </si>
  <si>
    <t>Debt Service Coverage Ratio</t>
  </si>
  <si>
    <t>VAT received (paid)</t>
  </si>
  <si>
    <t>Cash Contribution</t>
  </si>
  <si>
    <t>Depreciation (FC1)</t>
  </si>
  <si>
    <t>Interest (FC2)</t>
  </si>
  <si>
    <t>Overhead cost, excl VAT (FC3)</t>
  </si>
  <si>
    <t>Cash before tax</t>
  </si>
  <si>
    <t>Profit before tax</t>
  </si>
  <si>
    <t>Tax paid</t>
  </si>
  <si>
    <t>Cash after tax</t>
  </si>
  <si>
    <t>add depreciation</t>
  </si>
  <si>
    <t>Operational cash flow</t>
  </si>
  <si>
    <t>cumulative cash flow</t>
  </si>
  <si>
    <t>loan repayment</t>
  </si>
  <si>
    <t>dividend payments</t>
  </si>
  <si>
    <t>Cash flow after dividends</t>
  </si>
  <si>
    <t>Contribution to equity?</t>
  </si>
  <si>
    <t>yes</t>
  </si>
  <si>
    <t>Available for dividends, if equity &gt;</t>
  </si>
  <si>
    <t>Equity, Dividends &amp; Loan repayment</t>
  </si>
  <si>
    <t>Table 5. Balance Sheet</t>
  </si>
  <si>
    <t>Table 9. Risk analysis</t>
  </si>
  <si>
    <t>Assets</t>
  </si>
  <si>
    <t>Financial Risk of Cotrama Srl</t>
  </si>
  <si>
    <t>Fixed assets</t>
  </si>
  <si>
    <t>Initial risk</t>
  </si>
  <si>
    <t>- / - Accumulated Depreciation</t>
  </si>
  <si>
    <t>addtl. equity</t>
  </si>
  <si>
    <t>Fixed Assets (net)</t>
  </si>
  <si>
    <t>dividends</t>
  </si>
  <si>
    <t>Cash and bank</t>
  </si>
  <si>
    <t>cash risk</t>
  </si>
  <si>
    <t>Accounts receivable</t>
  </si>
  <si>
    <t>value of equity</t>
  </si>
  <si>
    <t>Advances paid</t>
  </si>
  <si>
    <t>Net worth</t>
  </si>
  <si>
    <t>VAT receivable</t>
  </si>
  <si>
    <t>Inventory / stocks of goods</t>
  </si>
  <si>
    <t>Financial Risk of BI &amp; Partners</t>
  </si>
  <si>
    <t>Loans issued and interest accrued, net</t>
  </si>
  <si>
    <t>Current Assets</t>
  </si>
  <si>
    <t>Total Assets</t>
  </si>
  <si>
    <t>management</t>
  </si>
  <si>
    <t>Liabilities</t>
  </si>
  <si>
    <t>Equity (paid-in and other capital)</t>
  </si>
  <si>
    <t>Retained earnings (accumulated)</t>
  </si>
  <si>
    <t>Capital</t>
  </si>
  <si>
    <t>Long-term loans received &amp; accrued interest</t>
  </si>
  <si>
    <t>Financial Risk financial institution</t>
  </si>
  <si>
    <t>Long-term liabilities</t>
  </si>
  <si>
    <t>Intitial risk</t>
  </si>
  <si>
    <t>Accounts payable (purchases on invoice)</t>
  </si>
  <si>
    <t>add interest + principal repayment</t>
  </si>
  <si>
    <t>Short-term debts (overhead + salaries)</t>
  </si>
  <si>
    <t>deduct loss of collateral</t>
  </si>
  <si>
    <t>Advances received, and accrued liabilities</t>
  </si>
  <si>
    <t>Total cash at risk</t>
  </si>
  <si>
    <t>VAT payable</t>
  </si>
  <si>
    <t>Accrued taxes</t>
  </si>
  <si>
    <t>Short-term liabilities</t>
  </si>
  <si>
    <t>Total equity and liabilities</t>
  </si>
  <si>
    <t>Check assets - liabilities</t>
  </si>
  <si>
    <t>ROE</t>
  </si>
  <si>
    <t>per kg</t>
  </si>
  <si>
    <t>VC</t>
  </si>
  <si>
    <t>Margin</t>
  </si>
  <si>
    <t>Margin %</t>
  </si>
  <si>
    <t>FC</t>
  </si>
  <si>
    <t>Contribution</t>
  </si>
  <si>
    <t>FC1</t>
  </si>
  <si>
    <t>FC2</t>
  </si>
  <si>
    <t>FC3</t>
  </si>
  <si>
    <t>CIGAR BOX 1 - Томатная паста 25 Brix, асептические мешки по 220 кг. в стальных бочках</t>
  </si>
  <si>
    <t>per year</t>
  </si>
  <si>
    <t>Price (delivered market)</t>
  </si>
  <si>
    <t>Цена (DDU Москва)</t>
  </si>
  <si>
    <t>Sales</t>
  </si>
  <si>
    <t>Общая выручка</t>
  </si>
  <si>
    <t>Импортные пошлины, 10%</t>
  </si>
  <si>
    <t>Общие издержки</t>
  </si>
  <si>
    <t>Транспортировка (114$/тон) и комиссия, 3%</t>
  </si>
  <si>
    <t>Profit Before Tax</t>
  </si>
  <si>
    <t>Прибыль до уплаты налогов</t>
  </si>
  <si>
    <t>Price (EXW)</t>
  </si>
  <si>
    <t>Цена (EXW)</t>
  </si>
  <si>
    <t>Profitability %</t>
  </si>
  <si>
    <t>Коэффициент (%) рентабельности</t>
  </si>
  <si>
    <t>Price (Flour, premix, DDP factory)</t>
  </si>
  <si>
    <t>Цена (сырье, с доставкой)</t>
  </si>
  <si>
    <t>Asset value (Equipment = 60%)</t>
  </si>
  <si>
    <t>Стоимость осн.средств</t>
  </si>
  <si>
    <t>Processing ratio</t>
  </si>
  <si>
    <t>Коэффициент переработки</t>
  </si>
  <si>
    <t>Depreciation %</t>
  </si>
  <si>
    <t>Амортизация %</t>
  </si>
  <si>
    <t>Raw Material cost</t>
  </si>
  <si>
    <t>Стоимость сырья</t>
  </si>
  <si>
    <t>Other ingredients (DDP factory)</t>
  </si>
  <si>
    <t>Другие ингредиенты</t>
  </si>
  <si>
    <t>VC1</t>
  </si>
  <si>
    <t>Debt (40% of Asset value)</t>
  </si>
  <si>
    <t>Долг</t>
  </si>
  <si>
    <t>Interest rate</t>
  </si>
  <si>
    <t>Процентная ставка</t>
  </si>
  <si>
    <t>Production cost per hour (oil, electricity, labor)</t>
  </si>
  <si>
    <t>Производственные расходы в час</t>
  </si>
  <si>
    <t>Production volume per hour (kg/hour)</t>
  </si>
  <si>
    <t>Объем производства в час</t>
  </si>
  <si>
    <t>VC2</t>
  </si>
  <si>
    <t>Number of FTE employed</t>
  </si>
  <si>
    <t>Количество сотрудников (эквив.полн.з.)</t>
  </si>
  <si>
    <t>Salaries staff incl. social taxes</t>
  </si>
  <si>
    <t>З/пл. штатных сотр-в + соц. отчисления</t>
  </si>
  <si>
    <t>Other overhead, repairs, maintenance</t>
  </si>
  <si>
    <t>Другие накладные расходы</t>
  </si>
  <si>
    <t>Стоимость единицы упаковки</t>
  </si>
  <si>
    <t>Number of cartons per kg</t>
  </si>
  <si>
    <t>Кол-во единиц упаковки на тонну</t>
  </si>
  <si>
    <t>VC3</t>
  </si>
  <si>
    <t>FC (общие постоянные затраты)</t>
  </si>
  <si>
    <t>FC % attributed to product</t>
  </si>
  <si>
    <t>FC %, отнесенные к продукту</t>
  </si>
  <si>
    <t>VC (общие переменные затраты)</t>
  </si>
  <si>
    <t>FC (one single product)</t>
  </si>
  <si>
    <t>FC (отнесенные к продукту)</t>
  </si>
  <si>
    <t>Валовая маржа (валовая прибыль)</t>
  </si>
  <si>
    <t>Volume sold q (kg)</t>
  </si>
  <si>
    <t>Объем продаж q</t>
  </si>
  <si>
    <t>Коэффициент (%) валовой маржи</t>
  </si>
  <si>
    <t>Контрибуция/вклад</t>
  </si>
  <si>
    <t>Variable cost</t>
  </si>
  <si>
    <t>Break even volume (sales)</t>
  </si>
  <si>
    <t>Точка безубыточности (по продажам)</t>
  </si>
  <si>
    <t>Fixed Cost / q</t>
  </si>
  <si>
    <t>FC / q</t>
  </si>
  <si>
    <t>Break even volume (raw material)</t>
  </si>
  <si>
    <t>Точка безубыточности (по сырью)</t>
  </si>
  <si>
    <t>Total Cost / q</t>
  </si>
  <si>
    <t>TC / q</t>
  </si>
  <si>
    <t>Output capacity in kg per hour</t>
  </si>
  <si>
    <t>Мощность в час (в тоннах)</t>
  </si>
  <si>
    <t>Working hours per day</t>
  </si>
  <si>
    <t>Кол-во рабочих часов в день</t>
  </si>
  <si>
    <t>Profit / q</t>
  </si>
  <si>
    <t>Прибыль / q</t>
  </si>
  <si>
    <t>Length of production season in days</t>
  </si>
  <si>
    <t>Длина сезона в днях</t>
  </si>
  <si>
    <t xml:space="preserve">  </t>
  </si>
  <si>
    <t>Max. output capacity per year</t>
  </si>
  <si>
    <t>Максимальная мощность в год</t>
  </si>
  <si>
    <t>Capacity utilization %</t>
  </si>
  <si>
    <t>Загрузка (использование) мощностей %</t>
  </si>
  <si>
    <t>ROI (at 80% capacity utilization)</t>
  </si>
  <si>
    <r>
      <t xml:space="preserve">Note: figures in </t>
    </r>
    <r>
      <rPr>
        <b/>
        <i/>
        <sz val="10"/>
        <color indexed="12"/>
        <rFont val="Arial"/>
        <family val="2"/>
      </rPr>
      <t>blue</t>
    </r>
    <r>
      <rPr>
        <i/>
        <sz val="10"/>
        <rFont val="Arial"/>
        <family val="2"/>
      </rPr>
      <t xml:space="preserve"> are assumptions; figures in </t>
    </r>
    <r>
      <rPr>
        <b/>
        <i/>
        <sz val="10"/>
        <color indexed="14"/>
        <rFont val="Arial"/>
        <family val="2"/>
      </rPr>
      <t>pink</t>
    </r>
    <r>
      <rPr>
        <i/>
        <sz val="10"/>
        <rFont val="Arial"/>
        <family val="2"/>
      </rPr>
      <t xml:space="preserve"> are calculated in another sheet; figures in </t>
    </r>
    <r>
      <rPr>
        <b/>
        <i/>
        <sz val="10"/>
        <rFont val="Arial"/>
        <family val="2"/>
      </rPr>
      <t>black</t>
    </r>
    <r>
      <rPr>
        <i/>
        <sz val="10"/>
        <rFont val="Arial"/>
        <family val="2"/>
      </rPr>
      <t xml:space="preserve"> are formulas</t>
    </r>
  </si>
  <si>
    <r>
      <t xml:space="preserve">Заметка: цифры </t>
    </r>
    <r>
      <rPr>
        <b/>
        <i/>
        <sz val="10"/>
        <color indexed="12"/>
        <rFont val="Arial"/>
        <family val="2"/>
        <charset val="204"/>
      </rPr>
      <t>синим</t>
    </r>
    <r>
      <rPr>
        <i/>
        <sz val="10"/>
        <rFont val="Arial"/>
        <family val="2"/>
      </rPr>
      <t xml:space="preserve">-допущения; цифры </t>
    </r>
    <r>
      <rPr>
        <b/>
        <i/>
        <sz val="10"/>
        <color indexed="14"/>
        <rFont val="Arial"/>
        <family val="2"/>
        <charset val="204"/>
      </rPr>
      <t>розовым</t>
    </r>
    <r>
      <rPr>
        <i/>
        <sz val="10"/>
        <rFont val="Arial"/>
        <family val="2"/>
      </rPr>
      <t xml:space="preserve">-рассчитаны на другом листе, цифры </t>
    </r>
    <r>
      <rPr>
        <b/>
        <i/>
        <sz val="10"/>
        <color indexed="8"/>
        <rFont val="Arial"/>
        <family val="2"/>
        <charset val="204"/>
      </rPr>
      <t>черным</t>
    </r>
    <r>
      <rPr>
        <i/>
        <sz val="10"/>
        <rFont val="Arial"/>
        <family val="2"/>
      </rPr>
      <t xml:space="preserve"> -формулы</t>
    </r>
  </si>
  <si>
    <t>PRODUCTION-SALES CYCLE</t>
  </si>
  <si>
    <t>COSTS</t>
  </si>
  <si>
    <t>FG Losses</t>
  </si>
  <si>
    <t>1000 NGN</t>
  </si>
  <si>
    <t>Office</t>
  </si>
  <si>
    <t>Nutrabake, Kaduna, Nigeria</t>
  </si>
  <si>
    <t>NGN</t>
  </si>
  <si>
    <t>VAT, 5%</t>
  </si>
  <si>
    <t>VC4 Transport + Sales commission 0%</t>
  </si>
  <si>
    <t>Cost of packing (bag, clip)</t>
  </si>
  <si>
    <t>Cigar Box 1 Sliced Bread, 780g, packed</t>
  </si>
  <si>
    <t>loafs</t>
  </si>
  <si>
    <t>Bakery, kitchen equipment</t>
  </si>
  <si>
    <t>Furniture, IT, F&amp;F</t>
  </si>
  <si>
    <t>Share of sale</t>
  </si>
  <si>
    <t>portions per day</t>
  </si>
  <si>
    <t>Annual sales</t>
  </si>
  <si>
    <t>Outdoor delivery</t>
  </si>
  <si>
    <t>Sales price per portion</t>
  </si>
  <si>
    <t>Portions per year</t>
  </si>
  <si>
    <t>Avg price</t>
  </si>
  <si>
    <t>Celebration cakes</t>
  </si>
  <si>
    <t>Cup cakes</t>
  </si>
  <si>
    <t>Cookies</t>
  </si>
  <si>
    <t>Brioche</t>
  </si>
  <si>
    <t>Shop sales, walk-in clients</t>
  </si>
  <si>
    <t>Margin cakes walk-in</t>
  </si>
  <si>
    <t>Margin deliveries</t>
  </si>
  <si>
    <t>Sales walk-in</t>
  </si>
  <si>
    <t>Sales deliveries</t>
  </si>
  <si>
    <t>Oven capacity</t>
  </si>
  <si>
    <t>Weight gr</t>
  </si>
  <si>
    <t>gr avg</t>
  </si>
  <si>
    <t>Almonds &amp; Vanilla Cakes, Lekki</t>
  </si>
  <si>
    <t>Chin-chin</t>
  </si>
  <si>
    <t>Sausage rolls</t>
  </si>
  <si>
    <t>Bread</t>
  </si>
  <si>
    <t>Donuts</t>
  </si>
  <si>
    <t>Hot dog roll</t>
  </si>
  <si>
    <t>weight per day in kg</t>
  </si>
  <si>
    <t>kg per hour</t>
  </si>
  <si>
    <t>16 cakes per 60 minutes</t>
  </si>
  <si>
    <t>cakes per year</t>
  </si>
  <si>
    <t>Land plot (0 sqm)</t>
  </si>
  <si>
    <t>Buildings (4 * 24 = 96 sqm)</t>
  </si>
  <si>
    <t>Utilities (150 KVA generator)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</si>
</sst>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€&quot;* #,##0_-;\-&quot;€&quot;* #,##0_-;_-&quot;€&quot;* &quot;-&quot;_-;_-@_-"/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_(* #,##0_);_(* \(#,##0\);_(* &quot;-&quot;??_);_(@_)"/>
    <numFmt numFmtId="166" formatCode="[$$-409]#,##0.00_ ;[Red]\-[$$-409]#,##0.00\ "/>
    <numFmt numFmtId="167" formatCode="0.0%"/>
    <numFmt numFmtId="168" formatCode="_-* #,##0_-;_-* #,##0\-;_-* &quot;-&quot;??_-;_-@_-"/>
    <numFmt numFmtId="169" formatCode="#,##0.0"/>
    <numFmt numFmtId="170" formatCode="_-* #,##0_-;\-* #,##0_-;_-* &quot;-&quot;??_-;_-@_-"/>
    <numFmt numFmtId="171" formatCode="0.0"/>
  </numFmts>
  <fonts count="41" x14ac:knownFonts="1">
    <font>
      <sz val="10"/>
      <name val="MS Sans Serif"/>
    </font>
    <font>
      <sz val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i/>
      <sz val="10"/>
      <color rgb="FF0000FF"/>
      <name val="Arial"/>
      <family val="2"/>
    </font>
    <font>
      <i/>
      <sz val="10"/>
      <color indexed="12"/>
      <name val="Arial"/>
      <family val="2"/>
    </font>
    <font>
      <sz val="10"/>
      <color rgb="FF0000FF"/>
      <name val="Arial"/>
      <family val="2"/>
    </font>
    <font>
      <b/>
      <i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FF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2"/>
      <name val="Arial"/>
      <family val="2"/>
      <charset val="204"/>
    </font>
    <font>
      <b/>
      <i/>
      <sz val="10"/>
      <color indexed="14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8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1">
    <xf numFmtId="0" fontId="0" fillId="0" borderId="0" xfId="0"/>
    <xf numFmtId="0" fontId="1" fillId="2" borderId="0" xfId="4" applyFill="1"/>
    <xf numFmtId="164" fontId="1" fillId="2" borderId="0" xfId="5" applyFill="1"/>
    <xf numFmtId="3" fontId="1" fillId="2" borderId="0" xfId="5" applyNumberFormat="1" applyFill="1"/>
    <xf numFmtId="3" fontId="1" fillId="2" borderId="0" xfId="4" applyNumberFormat="1" applyFill="1"/>
    <xf numFmtId="0" fontId="2" fillId="3" borderId="1" xfId="4" applyFont="1" applyFill="1" applyBorder="1"/>
    <xf numFmtId="0" fontId="3" fillId="3" borderId="2" xfId="4" applyFont="1" applyFill="1" applyBorder="1"/>
    <xf numFmtId="0" fontId="4" fillId="3" borderId="2" xfId="4" applyFont="1" applyFill="1" applyBorder="1" applyAlignment="1">
      <alignment horizontal="right"/>
    </xf>
    <xf numFmtId="0" fontId="2" fillId="3" borderId="2" xfId="4" applyFont="1" applyFill="1" applyBorder="1" applyAlignment="1">
      <alignment horizontal="center"/>
    </xf>
    <xf numFmtId="3" fontId="2" fillId="3" borderId="2" xfId="5" applyNumberFormat="1" applyFont="1" applyFill="1" applyBorder="1"/>
    <xf numFmtId="164" fontId="3" fillId="3" borderId="2" xfId="5" applyFont="1" applyFill="1" applyBorder="1"/>
    <xf numFmtId="0" fontId="5" fillId="3" borderId="3" xfId="4" applyFont="1" applyFill="1" applyBorder="1" applyAlignment="1">
      <alignment horizontal="right"/>
    </xf>
    <xf numFmtId="0" fontId="2" fillId="3" borderId="4" xfId="4" applyFont="1" applyFill="1" applyBorder="1"/>
    <xf numFmtId="0" fontId="4" fillId="3" borderId="5" xfId="4" applyFont="1" applyFill="1" applyBorder="1" applyAlignment="1">
      <alignment horizontal="right"/>
    </xf>
    <xf numFmtId="0" fontId="4" fillId="3" borderId="5" xfId="4" applyFont="1" applyFill="1" applyBorder="1" applyAlignment="1">
      <alignment horizontal="center"/>
    </xf>
    <xf numFmtId="0" fontId="2" fillId="3" borderId="5" xfId="4" applyFont="1" applyFill="1" applyBorder="1" applyAlignment="1">
      <alignment horizontal="center"/>
    </xf>
    <xf numFmtId="3" fontId="2" fillId="3" borderId="5" xfId="4" applyNumberFormat="1" applyFont="1" applyFill="1" applyBorder="1"/>
    <xf numFmtId="3" fontId="3" fillId="3" borderId="5" xfId="4" applyNumberFormat="1" applyFont="1" applyFill="1" applyBorder="1"/>
    <xf numFmtId="0" fontId="5" fillId="3" borderId="6" xfId="4" applyFont="1" applyFill="1" applyBorder="1" applyAlignment="1">
      <alignment horizontal="right"/>
    </xf>
    <xf numFmtId="0" fontId="2" fillId="3" borderId="7" xfId="4" applyFont="1" applyFill="1" applyBorder="1"/>
    <xf numFmtId="0" fontId="3" fillId="3" borderId="8" xfId="4" applyFont="1" applyFill="1" applyBorder="1"/>
    <xf numFmtId="0" fontId="2" fillId="3" borderId="8" xfId="4" applyFont="1" applyFill="1" applyBorder="1" applyAlignment="1">
      <alignment horizontal="center"/>
    </xf>
    <xf numFmtId="3" fontId="2" fillId="3" borderId="8" xfId="4" applyNumberFormat="1" applyFont="1" applyFill="1" applyBorder="1"/>
    <xf numFmtId="3" fontId="3" fillId="3" borderId="8" xfId="4" applyNumberFormat="1" applyFont="1" applyFill="1" applyBorder="1"/>
    <xf numFmtId="0" fontId="1" fillId="4" borderId="9" xfId="4" applyFill="1" applyBorder="1"/>
    <xf numFmtId="0" fontId="1" fillId="4" borderId="0" xfId="4" applyFill="1" applyBorder="1"/>
    <xf numFmtId="164" fontId="6" fillId="4" borderId="0" xfId="5" applyFont="1" applyFill="1" applyBorder="1" applyAlignment="1">
      <alignment horizontal="right"/>
    </xf>
    <xf numFmtId="3" fontId="1" fillId="4" borderId="0" xfId="5" applyNumberFormat="1" applyFill="1" applyBorder="1"/>
    <xf numFmtId="0" fontId="1" fillId="4" borderId="10" xfId="4" applyFill="1" applyBorder="1"/>
    <xf numFmtId="0" fontId="6" fillId="4" borderId="4" xfId="4" applyFont="1" applyFill="1" applyBorder="1"/>
    <xf numFmtId="0" fontId="1" fillId="4" borderId="5" xfId="4" applyFill="1" applyBorder="1"/>
    <xf numFmtId="0" fontId="7" fillId="4" borderId="5" xfId="4" applyFont="1" applyFill="1" applyBorder="1" applyAlignment="1">
      <alignment horizontal="center"/>
    </xf>
    <xf numFmtId="0" fontId="8" fillId="4" borderId="5" xfId="4" applyNumberFormat="1" applyFont="1" applyFill="1" applyBorder="1"/>
    <xf numFmtId="0" fontId="9" fillId="4" borderId="5" xfId="4" applyNumberFormat="1" applyFont="1" applyFill="1" applyBorder="1"/>
    <xf numFmtId="0" fontId="9" fillId="4" borderId="6" xfId="4" applyNumberFormat="1" applyFont="1" applyFill="1" applyBorder="1"/>
    <xf numFmtId="0" fontId="1" fillId="0" borderId="4" xfId="4" applyBorder="1"/>
    <xf numFmtId="0" fontId="6" fillId="4" borderId="5" xfId="4" applyFont="1" applyFill="1" applyBorder="1" applyAlignment="1">
      <alignment horizontal="center"/>
    </xf>
    <xf numFmtId="0" fontId="6" fillId="4" borderId="9" xfId="4" applyFont="1" applyFill="1" applyBorder="1"/>
    <xf numFmtId="0" fontId="1" fillId="4" borderId="0" xfId="4" applyFont="1" applyFill="1" applyBorder="1"/>
    <xf numFmtId="164" fontId="10" fillId="4" borderId="0" xfId="5" applyFont="1" applyFill="1" applyBorder="1"/>
    <xf numFmtId="9" fontId="7" fillId="4" borderId="0" xfId="3" applyFont="1" applyFill="1" applyBorder="1"/>
    <xf numFmtId="0" fontId="6" fillId="4" borderId="0" xfId="4" applyFont="1" applyFill="1" applyBorder="1"/>
    <xf numFmtId="164" fontId="1" fillId="4" borderId="0" xfId="5" applyFill="1" applyBorder="1"/>
    <xf numFmtId="0" fontId="7" fillId="4" borderId="0" xfId="4" applyFont="1" applyFill="1" applyBorder="1"/>
    <xf numFmtId="9" fontId="12" fillId="4" borderId="0" xfId="4" applyNumberFormat="1" applyFont="1" applyFill="1" applyBorder="1"/>
    <xf numFmtId="9" fontId="13" fillId="4" borderId="0" xfId="4" applyNumberFormat="1" applyFont="1" applyFill="1" applyBorder="1"/>
    <xf numFmtId="9" fontId="7" fillId="4" borderId="10" xfId="3" applyFont="1" applyFill="1" applyBorder="1"/>
    <xf numFmtId="165" fontId="1" fillId="4" borderId="0" xfId="1" applyNumberFormat="1" applyFont="1" applyFill="1" applyBorder="1"/>
    <xf numFmtId="3" fontId="1" fillId="4" borderId="0" xfId="4" applyNumberFormat="1" applyFill="1" applyBorder="1"/>
    <xf numFmtId="3" fontId="1" fillId="4" borderId="10" xfId="4" applyNumberFormat="1" applyFill="1" applyBorder="1"/>
    <xf numFmtId="0" fontId="1" fillId="4" borderId="0" xfId="4" applyFont="1" applyFill="1" applyBorder="1" applyAlignment="1">
      <alignment horizontal="left" indent="1"/>
    </xf>
    <xf numFmtId="9" fontId="1" fillId="4" borderId="0" xfId="4" applyNumberFormat="1" applyFill="1" applyBorder="1"/>
    <xf numFmtId="164" fontId="14" fillId="4" borderId="0" xfId="5" applyFont="1" applyFill="1" applyBorder="1"/>
    <xf numFmtId="0" fontId="1" fillId="0" borderId="0" xfId="4" applyBorder="1"/>
    <xf numFmtId="3" fontId="1" fillId="4" borderId="0" xfId="4" applyNumberFormat="1" applyFont="1" applyFill="1" applyBorder="1"/>
    <xf numFmtId="3" fontId="1" fillId="4" borderId="10" xfId="4" applyNumberFormat="1" applyFont="1" applyFill="1" applyBorder="1"/>
    <xf numFmtId="164" fontId="1" fillId="4" borderId="0" xfId="5" applyFont="1" applyFill="1" applyBorder="1"/>
    <xf numFmtId="9" fontId="7" fillId="4" borderId="0" xfId="4" applyNumberFormat="1" applyFont="1" applyFill="1" applyBorder="1"/>
    <xf numFmtId="165" fontId="7" fillId="4" borderId="0" xfId="1" applyNumberFormat="1" applyFont="1" applyFill="1" applyBorder="1"/>
    <xf numFmtId="9" fontId="1" fillId="4" borderId="0" xfId="3" applyFont="1" applyFill="1" applyBorder="1"/>
    <xf numFmtId="9" fontId="1" fillId="4" borderId="10" xfId="3" applyFont="1" applyFill="1" applyBorder="1"/>
    <xf numFmtId="9" fontId="7" fillId="4" borderId="10" xfId="4" applyNumberFormat="1" applyFont="1" applyFill="1" applyBorder="1"/>
    <xf numFmtId="166" fontId="13" fillId="4" borderId="0" xfId="2" applyNumberFormat="1" applyFont="1" applyFill="1" applyBorder="1"/>
    <xf numFmtId="0" fontId="7" fillId="4" borderId="10" xfId="4" applyFont="1" applyFill="1" applyBorder="1"/>
    <xf numFmtId="0" fontId="15" fillId="4" borderId="0" xfId="4" applyFont="1" applyFill="1" applyBorder="1"/>
    <xf numFmtId="3" fontId="6" fillId="4" borderId="0" xfId="4" applyNumberFormat="1" applyFont="1" applyFill="1" applyBorder="1"/>
    <xf numFmtId="3" fontId="6" fillId="4" borderId="10" xfId="4" applyNumberFormat="1" applyFont="1" applyFill="1" applyBorder="1"/>
    <xf numFmtId="3" fontId="10" fillId="4" borderId="0" xfId="4" applyNumberFormat="1" applyFont="1" applyFill="1" applyBorder="1"/>
    <xf numFmtId="3" fontId="14" fillId="4" borderId="0" xfId="4" applyNumberFormat="1" applyFont="1" applyFill="1" applyBorder="1"/>
    <xf numFmtId="0" fontId="1" fillId="4" borderId="0" xfId="4" applyFill="1" applyBorder="1" applyAlignment="1">
      <alignment horizontal="left" indent="1"/>
    </xf>
    <xf numFmtId="9" fontId="10" fillId="4" borderId="0" xfId="4" applyNumberFormat="1" applyFont="1" applyFill="1" applyBorder="1"/>
    <xf numFmtId="0" fontId="1" fillId="4" borderId="11" xfId="4" applyFill="1" applyBorder="1"/>
    <xf numFmtId="0" fontId="6" fillId="4" borderId="12" xfId="4" applyFont="1" applyFill="1" applyBorder="1"/>
    <xf numFmtId="0" fontId="15" fillId="4" borderId="12" xfId="4" applyFont="1" applyFill="1" applyBorder="1"/>
    <xf numFmtId="3" fontId="6" fillId="4" borderId="12" xfId="4" applyNumberFormat="1" applyFont="1" applyFill="1" applyBorder="1"/>
    <xf numFmtId="3" fontId="6" fillId="4" borderId="13" xfId="4" applyNumberFormat="1" applyFont="1" applyFill="1" applyBorder="1"/>
    <xf numFmtId="164" fontId="16" fillId="4" borderId="0" xfId="5" applyFont="1" applyFill="1" applyBorder="1"/>
    <xf numFmtId="164" fontId="10" fillId="4" borderId="0" xfId="5" applyFont="1" applyFill="1" applyBorder="1" applyAlignment="1">
      <alignment horizontal="right"/>
    </xf>
    <xf numFmtId="9" fontId="17" fillId="4" borderId="0" xfId="4" applyNumberFormat="1" applyFont="1" applyFill="1" applyBorder="1"/>
    <xf numFmtId="0" fontId="1" fillId="2" borderId="0" xfId="4" applyFill="1" applyBorder="1"/>
    <xf numFmtId="0" fontId="1" fillId="4" borderId="12" xfId="4" applyFont="1" applyFill="1" applyBorder="1"/>
    <xf numFmtId="0" fontId="7" fillId="4" borderId="12" xfId="4" applyFont="1" applyFill="1" applyBorder="1"/>
    <xf numFmtId="3" fontId="1" fillId="4" borderId="12" xfId="4" applyNumberFormat="1" applyFill="1" applyBorder="1"/>
    <xf numFmtId="3" fontId="1" fillId="4" borderId="13" xfId="4" applyNumberFormat="1" applyFill="1" applyBorder="1"/>
    <xf numFmtId="0" fontId="7" fillId="4" borderId="0" xfId="4" applyFont="1" applyFill="1" applyBorder="1" applyAlignment="1">
      <alignment horizontal="center"/>
    </xf>
    <xf numFmtId="40" fontId="10" fillId="4" borderId="0" xfId="1" applyFont="1" applyFill="1" applyBorder="1"/>
    <xf numFmtId="0" fontId="1" fillId="4" borderId="14" xfId="4" applyFill="1" applyBorder="1"/>
    <xf numFmtId="0" fontId="6" fillId="4" borderId="15" xfId="4" applyFont="1" applyFill="1" applyBorder="1"/>
    <xf numFmtId="164" fontId="6" fillId="4" borderId="15" xfId="5" applyFont="1" applyFill="1" applyBorder="1"/>
    <xf numFmtId="9" fontId="7" fillId="4" borderId="15" xfId="3" applyFont="1" applyFill="1" applyBorder="1"/>
    <xf numFmtId="3" fontId="1" fillId="4" borderId="15" xfId="5" applyNumberFormat="1" applyFill="1" applyBorder="1"/>
    <xf numFmtId="0" fontId="1" fillId="4" borderId="15" xfId="4" applyFill="1" applyBorder="1"/>
    <xf numFmtId="9" fontId="7" fillId="4" borderId="16" xfId="4" applyNumberFormat="1" applyFont="1" applyFill="1" applyBorder="1"/>
    <xf numFmtId="9" fontId="10" fillId="4" borderId="0" xfId="3" applyFont="1" applyFill="1" applyBorder="1"/>
    <xf numFmtId="0" fontId="6" fillId="4" borderId="11" xfId="4" applyFont="1" applyFill="1" applyBorder="1"/>
    <xf numFmtId="0" fontId="1" fillId="4" borderId="17" xfId="4" applyFill="1" applyBorder="1"/>
    <xf numFmtId="165" fontId="7" fillId="4" borderId="18" xfId="1" applyNumberFormat="1" applyFont="1" applyFill="1" applyBorder="1"/>
    <xf numFmtId="9" fontId="1" fillId="4" borderId="18" xfId="6" applyFont="1" applyFill="1" applyBorder="1"/>
    <xf numFmtId="9" fontId="1" fillId="4" borderId="19" xfId="6" applyFont="1" applyFill="1" applyBorder="1"/>
    <xf numFmtId="0" fontId="1" fillId="4" borderId="18" xfId="4" applyFont="1" applyFill="1" applyBorder="1"/>
    <xf numFmtId="40" fontId="10" fillId="4" borderId="18" xfId="1" applyFont="1" applyFill="1" applyBorder="1"/>
    <xf numFmtId="9" fontId="1" fillId="4" borderId="18" xfId="3" applyFont="1" applyFill="1" applyBorder="1"/>
    <xf numFmtId="9" fontId="1" fillId="4" borderId="19" xfId="3" applyFont="1" applyFill="1" applyBorder="1"/>
    <xf numFmtId="164" fontId="4" fillId="3" borderId="2" xfId="5" applyFont="1" applyFill="1" applyBorder="1" applyAlignment="1">
      <alignment horizontal="right"/>
    </xf>
    <xf numFmtId="164" fontId="2" fillId="3" borderId="2" xfId="5" applyFont="1" applyFill="1" applyBorder="1"/>
    <xf numFmtId="0" fontId="3" fillId="3" borderId="3" xfId="4" applyFont="1" applyFill="1" applyBorder="1"/>
    <xf numFmtId="0" fontId="4" fillId="3" borderId="8" xfId="4" applyFont="1" applyFill="1" applyBorder="1" applyAlignment="1">
      <alignment horizontal="right"/>
    </xf>
    <xf numFmtId="0" fontId="1" fillId="2" borderId="0" xfId="4" applyFont="1" applyFill="1"/>
    <xf numFmtId="0" fontId="1" fillId="4" borderId="4" xfId="4" applyFill="1" applyBorder="1"/>
    <xf numFmtId="0" fontId="9" fillId="2" borderId="5" xfId="4" applyNumberFormat="1" applyFont="1" applyFill="1" applyBorder="1"/>
    <xf numFmtId="0" fontId="9" fillId="2" borderId="6" xfId="4" applyNumberFormat="1" applyFont="1" applyFill="1" applyBorder="1"/>
    <xf numFmtId="0" fontId="6" fillId="4" borderId="9" xfId="4" applyFont="1" applyFill="1" applyBorder="1" applyAlignment="1">
      <alignment horizontal="center"/>
    </xf>
    <xf numFmtId="164" fontId="18" fillId="4" borderId="0" xfId="5" applyFont="1" applyFill="1" applyBorder="1" applyAlignment="1">
      <alignment horizontal="center"/>
    </xf>
    <xf numFmtId="0" fontId="18" fillId="4" borderId="0" xfId="4" applyFont="1" applyFill="1" applyBorder="1" applyAlignment="1">
      <alignment horizontal="center"/>
    </xf>
    <xf numFmtId="3" fontId="18" fillId="4" borderId="0" xfId="4" applyNumberFormat="1" applyFont="1" applyFill="1" applyBorder="1" applyAlignment="1">
      <alignment horizontal="center"/>
    </xf>
    <xf numFmtId="0" fontId="6" fillId="4" borderId="0" xfId="4" applyFont="1" applyFill="1" applyBorder="1" applyAlignment="1">
      <alignment horizontal="center"/>
    </xf>
    <xf numFmtId="164" fontId="18" fillId="4" borderId="0" xfId="5" applyFont="1" applyFill="1" applyBorder="1" applyAlignment="1">
      <alignment horizontal="right"/>
    </xf>
    <xf numFmtId="0" fontId="18" fillId="4" borderId="0" xfId="4" applyFont="1" applyFill="1" applyBorder="1" applyAlignment="1">
      <alignment horizontal="right"/>
    </xf>
    <xf numFmtId="3" fontId="18" fillId="4" borderId="10" xfId="5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left"/>
    </xf>
    <xf numFmtId="3" fontId="1" fillId="2" borderId="0" xfId="4" applyNumberFormat="1" applyFont="1" applyFill="1" applyBorder="1"/>
    <xf numFmtId="3" fontId="1" fillId="2" borderId="10" xfId="4" applyNumberFormat="1" applyFont="1" applyFill="1" applyBorder="1"/>
    <xf numFmtId="0" fontId="1" fillId="4" borderId="9" xfId="4" applyFill="1" applyBorder="1" applyAlignment="1">
      <alignment horizontal="center"/>
    </xf>
    <xf numFmtId="3" fontId="1" fillId="4" borderId="10" xfId="5" applyNumberFormat="1" applyFill="1" applyBorder="1"/>
    <xf numFmtId="0" fontId="1" fillId="4" borderId="0" xfId="0" applyFont="1" applyFill="1" applyBorder="1"/>
    <xf numFmtId="165" fontId="1" fillId="2" borderId="0" xfId="1" applyNumberFormat="1" applyFont="1" applyFill="1" applyBorder="1"/>
    <xf numFmtId="165" fontId="1" fillId="2" borderId="10" xfId="1" applyNumberFormat="1" applyFont="1" applyFill="1" applyBorder="1"/>
    <xf numFmtId="164" fontId="1" fillId="0" borderId="0" xfId="5" applyBorder="1"/>
    <xf numFmtId="0" fontId="1" fillId="4" borderId="0" xfId="1" applyNumberFormat="1" applyFont="1" applyFill="1" applyBorder="1" applyAlignment="1">
      <alignment horizontal="left"/>
    </xf>
    <xf numFmtId="167" fontId="10" fillId="4" borderId="0" xfId="3" applyNumberFormat="1" applyFont="1" applyFill="1" applyBorder="1"/>
    <xf numFmtId="165" fontId="1" fillId="4" borderId="10" xfId="1" applyNumberFormat="1" applyFont="1" applyFill="1" applyBorder="1"/>
    <xf numFmtId="3" fontId="19" fillId="4" borderId="0" xfId="5" applyNumberFormat="1" applyFont="1" applyFill="1" applyBorder="1"/>
    <xf numFmtId="164" fontId="1" fillId="4" borderId="12" xfId="5" applyFill="1" applyBorder="1"/>
    <xf numFmtId="3" fontId="19" fillId="4" borderId="10" xfId="5" applyNumberFormat="1" applyFont="1" applyFill="1" applyBorder="1"/>
    <xf numFmtId="10" fontId="10" fillId="4" borderId="0" xfId="3" applyNumberFormat="1" applyFont="1" applyFill="1" applyBorder="1"/>
    <xf numFmtId="3" fontId="6" fillId="4" borderId="0" xfId="5" applyNumberFormat="1" applyFont="1" applyFill="1" applyBorder="1"/>
    <xf numFmtId="164" fontId="6" fillId="4" borderId="0" xfId="5" applyFont="1" applyFill="1" applyBorder="1"/>
    <xf numFmtId="3" fontId="6" fillId="4" borderId="10" xfId="5" applyNumberFormat="1" applyFont="1" applyFill="1" applyBorder="1"/>
    <xf numFmtId="0" fontId="1" fillId="0" borderId="0" xfId="4"/>
    <xf numFmtId="164" fontId="1" fillId="4" borderId="0" xfId="4" applyNumberFormat="1" applyFill="1" applyBorder="1"/>
    <xf numFmtId="167" fontId="6" fillId="4" borderId="0" xfId="3" applyNumberFormat="1" applyFont="1" applyFill="1" applyBorder="1" applyAlignment="1">
      <alignment horizontal="right"/>
    </xf>
    <xf numFmtId="3" fontId="6" fillId="4" borderId="0" xfId="4" applyNumberFormat="1" applyFont="1" applyFill="1" applyBorder="1" applyAlignment="1">
      <alignment horizontal="right"/>
    </xf>
    <xf numFmtId="0" fontId="1" fillId="2" borderId="0" xfId="4" applyFont="1" applyFill="1" applyBorder="1"/>
    <xf numFmtId="0" fontId="1" fillId="2" borderId="10" xfId="4" applyFont="1" applyFill="1" applyBorder="1"/>
    <xf numFmtId="167" fontId="10" fillId="4" borderId="0" xfId="4" applyNumberFormat="1" applyFont="1" applyFill="1" applyBorder="1"/>
    <xf numFmtId="167" fontId="1" fillId="4" borderId="0" xfId="6" applyNumberFormat="1" applyFont="1" applyFill="1" applyBorder="1"/>
    <xf numFmtId="0" fontId="18" fillId="4" borderId="0" xfId="4" applyFont="1" applyFill="1" applyBorder="1"/>
    <xf numFmtId="3" fontId="18" fillId="4" borderId="0" xfId="5" applyNumberFormat="1" applyFont="1" applyFill="1" applyBorder="1"/>
    <xf numFmtId="0" fontId="10" fillId="4" borderId="0" xfId="4" applyFont="1" applyFill="1" applyBorder="1" applyAlignment="1"/>
    <xf numFmtId="3" fontId="14" fillId="4" borderId="10" xfId="4" applyNumberFormat="1" applyFont="1" applyFill="1" applyBorder="1"/>
    <xf numFmtId="0" fontId="1" fillId="4" borderId="18" xfId="1" applyNumberFormat="1" applyFont="1" applyFill="1" applyBorder="1" applyAlignment="1">
      <alignment horizontal="left"/>
    </xf>
    <xf numFmtId="165" fontId="1" fillId="4" borderId="18" xfId="1" applyNumberFormat="1" applyFont="1" applyFill="1" applyBorder="1"/>
    <xf numFmtId="167" fontId="1" fillId="4" borderId="18" xfId="3" applyNumberFormat="1" applyFont="1" applyFill="1" applyBorder="1"/>
    <xf numFmtId="3" fontId="1" fillId="4" borderId="18" xfId="4" applyNumberFormat="1" applyFill="1" applyBorder="1"/>
    <xf numFmtId="3" fontId="1" fillId="4" borderId="19" xfId="4" applyNumberFormat="1" applyFill="1" applyBorder="1"/>
    <xf numFmtId="3" fontId="1" fillId="2" borderId="8" xfId="4" applyNumberFormat="1" applyFont="1" applyFill="1" applyBorder="1"/>
    <xf numFmtId="3" fontId="1" fillId="2" borderId="20" xfId="4" applyNumberFormat="1" applyFont="1" applyFill="1" applyBorder="1"/>
    <xf numFmtId="9" fontId="1" fillId="4" borderId="0" xfId="6" applyFont="1" applyFill="1" applyBorder="1" applyAlignment="1">
      <alignment horizontal="left"/>
    </xf>
    <xf numFmtId="9" fontId="1" fillId="4" borderId="0" xfId="3" applyFont="1" applyFill="1" applyBorder="1" applyAlignment="1">
      <alignment horizontal="left"/>
    </xf>
    <xf numFmtId="0" fontId="6" fillId="4" borderId="18" xfId="4" applyFont="1" applyFill="1" applyBorder="1"/>
    <xf numFmtId="164" fontId="1" fillId="4" borderId="18" xfId="5" applyFill="1" applyBorder="1"/>
    <xf numFmtId="0" fontId="1" fillId="4" borderId="18" xfId="4" applyFill="1" applyBorder="1"/>
    <xf numFmtId="3" fontId="6" fillId="4" borderId="18" xfId="5" applyNumberFormat="1" applyFont="1" applyFill="1" applyBorder="1"/>
    <xf numFmtId="0" fontId="1" fillId="4" borderId="19" xfId="4" applyFill="1" applyBorder="1"/>
    <xf numFmtId="9" fontId="1" fillId="4" borderId="18" xfId="4" applyNumberFormat="1" applyFill="1" applyBorder="1"/>
    <xf numFmtId="0" fontId="4" fillId="3" borderId="8" xfId="4" applyFont="1" applyFill="1" applyBorder="1" applyAlignment="1">
      <alignment horizontal="center"/>
    </xf>
    <xf numFmtId="165" fontId="5" fillId="3" borderId="8" xfId="1" applyNumberFormat="1" applyFont="1" applyFill="1" applyBorder="1"/>
    <xf numFmtId="1" fontId="3" fillId="3" borderId="8" xfId="1" applyNumberFormat="1" applyFont="1" applyFill="1" applyBorder="1"/>
    <xf numFmtId="0" fontId="5" fillId="3" borderId="20" xfId="4" applyFont="1" applyFill="1" applyBorder="1" applyAlignment="1">
      <alignment horizontal="right"/>
    </xf>
    <xf numFmtId="0" fontId="1" fillId="0" borderId="9" xfId="4" applyBorder="1"/>
    <xf numFmtId="0" fontId="20" fillId="4" borderId="0" xfId="4" applyFont="1" applyFill="1" applyBorder="1"/>
    <xf numFmtId="165" fontId="7" fillId="4" borderId="0" xfId="1" applyNumberFormat="1" applyFont="1" applyFill="1" applyBorder="1" applyAlignment="1">
      <alignment horizontal="right"/>
    </xf>
    <xf numFmtId="1" fontId="9" fillId="4" borderId="0" xfId="1" applyNumberFormat="1" applyFont="1" applyFill="1" applyBorder="1"/>
    <xf numFmtId="1" fontId="9" fillId="4" borderId="10" xfId="1" applyNumberFormat="1" applyFont="1" applyFill="1" applyBorder="1"/>
    <xf numFmtId="165" fontId="7" fillId="4" borderId="10" xfId="1" applyNumberFormat="1" applyFont="1" applyFill="1" applyBorder="1"/>
    <xf numFmtId="168" fontId="7" fillId="4" borderId="0" xfId="0" applyNumberFormat="1" applyFont="1" applyFill="1" applyBorder="1"/>
    <xf numFmtId="168" fontId="7" fillId="4" borderId="10" xfId="0" applyNumberFormat="1" applyFont="1" applyFill="1" applyBorder="1"/>
    <xf numFmtId="168" fontId="1" fillId="4" borderId="0" xfId="0" applyNumberFormat="1" applyFont="1" applyFill="1" applyBorder="1"/>
    <xf numFmtId="168" fontId="1" fillId="4" borderId="10" xfId="0" applyNumberFormat="1" applyFont="1" applyFill="1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40" fontId="7" fillId="4" borderId="0" xfId="1" applyFont="1" applyFill="1" applyBorder="1"/>
    <xf numFmtId="169" fontId="21" fillId="4" borderId="0" xfId="7" applyNumberFormat="1" applyFont="1" applyFill="1" applyBorder="1"/>
    <xf numFmtId="169" fontId="21" fillId="4" borderId="10" xfId="7" applyNumberFormat="1" applyFont="1" applyFill="1" applyBorder="1"/>
    <xf numFmtId="9" fontId="22" fillId="4" borderId="0" xfId="4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19" xfId="0" applyFont="1" applyFill="1" applyBorder="1"/>
    <xf numFmtId="9" fontId="22" fillId="0" borderId="0" xfId="4" applyNumberFormat="1" applyFont="1" applyFill="1" applyBorder="1" applyAlignment="1">
      <alignment horizontal="center"/>
    </xf>
    <xf numFmtId="0" fontId="1" fillId="4" borderId="0" xfId="4" applyFill="1" applyBorder="1" applyAlignment="1">
      <alignment horizontal="center"/>
    </xf>
    <xf numFmtId="0" fontId="6" fillId="4" borderId="17" xfId="4" applyFont="1" applyFill="1" applyBorder="1"/>
    <xf numFmtId="164" fontId="6" fillId="4" borderId="18" xfId="4" applyNumberFormat="1" applyFont="1" applyFill="1" applyBorder="1"/>
    <xf numFmtId="3" fontId="6" fillId="0" borderId="18" xfId="4" applyNumberFormat="1" applyFont="1" applyFill="1" applyBorder="1"/>
    <xf numFmtId="3" fontId="6" fillId="4" borderId="18" xfId="4" applyNumberFormat="1" applyFont="1" applyFill="1" applyBorder="1"/>
    <xf numFmtId="3" fontId="6" fillId="4" borderId="19" xfId="4" applyNumberFormat="1" applyFont="1" applyFill="1" applyBorder="1"/>
    <xf numFmtId="0" fontId="23" fillId="4" borderId="0" xfId="4" applyFont="1" applyFill="1" applyBorder="1" applyAlignment="1">
      <alignment horizontal="center"/>
    </xf>
    <xf numFmtId="9" fontId="1" fillId="4" borderId="0" xfId="4" applyNumberFormat="1" applyFill="1" applyBorder="1" applyAlignment="1">
      <alignment horizontal="center"/>
    </xf>
    <xf numFmtId="9" fontId="23" fillId="4" borderId="5" xfId="3" applyFont="1" applyFill="1" applyBorder="1" applyAlignment="1">
      <alignment horizontal="center"/>
    </xf>
    <xf numFmtId="3" fontId="6" fillId="4" borderId="5" xfId="4" applyNumberFormat="1" applyFont="1" applyFill="1" applyBorder="1"/>
    <xf numFmtId="3" fontId="6" fillId="4" borderId="6" xfId="4" applyNumberFormat="1" applyFont="1" applyFill="1" applyBorder="1"/>
    <xf numFmtId="0" fontId="9" fillId="4" borderId="5" xfId="4" applyFont="1" applyFill="1" applyBorder="1"/>
    <xf numFmtId="0" fontId="9" fillId="4" borderId="6" xfId="4" applyFont="1" applyFill="1" applyBorder="1"/>
    <xf numFmtId="0" fontId="15" fillId="4" borderId="9" xfId="0" applyFont="1" applyFill="1" applyBorder="1" applyAlignment="1">
      <alignment horizontal="left"/>
    </xf>
    <xf numFmtId="0" fontId="0" fillId="4" borderId="9" xfId="0" applyFill="1" applyBorder="1"/>
    <xf numFmtId="0" fontId="1" fillId="4" borderId="0" xfId="0" applyFont="1" applyFill="1" applyBorder="1" applyAlignment="1">
      <alignment horizontal="left"/>
    </xf>
    <xf numFmtId="165" fontId="1" fillId="4" borderId="0" xfId="1" quotePrefix="1" applyNumberFormat="1" applyFont="1" applyFill="1" applyBorder="1" applyAlignment="1">
      <alignment horizontal="left"/>
    </xf>
    <xf numFmtId="165" fontId="6" fillId="4" borderId="9" xfId="1" applyNumberFormat="1" applyFont="1" applyFill="1" applyBorder="1" applyAlignment="1">
      <alignment horizontal="left"/>
    </xf>
    <xf numFmtId="3" fontId="6" fillId="4" borderId="0" xfId="0" applyNumberFormat="1" applyFont="1" applyFill="1" applyBorder="1"/>
    <xf numFmtId="3" fontId="6" fillId="4" borderId="10" xfId="0" applyNumberFormat="1" applyFont="1" applyFill="1" applyBorder="1"/>
    <xf numFmtId="165" fontId="1" fillId="4" borderId="0" xfId="1" applyNumberFormat="1" applyFont="1" applyFill="1" applyBorder="1" applyAlignment="1">
      <alignment horizontal="left"/>
    </xf>
    <xf numFmtId="3" fontId="1" fillId="4" borderId="0" xfId="0" applyNumberFormat="1" applyFont="1" applyFill="1" applyBorder="1"/>
    <xf numFmtId="3" fontId="1" fillId="4" borderId="10" xfId="0" applyNumberFormat="1" applyFont="1" applyFill="1" applyBorder="1"/>
    <xf numFmtId="9" fontId="22" fillId="4" borderId="0" xfId="0" applyNumberFormat="1" applyFont="1" applyFill="1" applyBorder="1"/>
    <xf numFmtId="165" fontId="6" fillId="4" borderId="21" xfId="1" applyNumberFormat="1" applyFont="1" applyFill="1" applyBorder="1" applyAlignment="1">
      <alignment horizontal="left"/>
    </xf>
    <xf numFmtId="0" fontId="1" fillId="4" borderId="22" xfId="0" applyFont="1" applyFill="1" applyBorder="1"/>
    <xf numFmtId="3" fontId="6" fillId="4" borderId="22" xfId="0" applyNumberFormat="1" applyFont="1" applyFill="1" applyBorder="1"/>
    <xf numFmtId="3" fontId="6" fillId="4" borderId="23" xfId="0" applyNumberFormat="1" applyFont="1" applyFill="1" applyBorder="1"/>
    <xf numFmtId="165" fontId="1" fillId="4" borderId="9" xfId="1" applyNumberFormat="1" applyFont="1" applyFill="1" applyBorder="1" applyAlignment="1">
      <alignment horizontal="left"/>
    </xf>
    <xf numFmtId="1" fontId="1" fillId="4" borderId="0" xfId="4" applyNumberFormat="1" applyFill="1" applyBorder="1"/>
    <xf numFmtId="1" fontId="1" fillId="4" borderId="10" xfId="4" applyNumberFormat="1" applyFill="1" applyBorder="1"/>
    <xf numFmtId="165" fontId="15" fillId="4" borderId="9" xfId="1" applyNumberFormat="1" applyFont="1" applyFill="1" applyBorder="1" applyAlignment="1">
      <alignment horizontal="left"/>
    </xf>
    <xf numFmtId="0" fontId="1" fillId="4" borderId="22" xfId="4" applyFont="1" applyFill="1" applyBorder="1"/>
    <xf numFmtId="0" fontId="1" fillId="4" borderId="10" xfId="0" applyFont="1" applyFill="1" applyBorder="1"/>
    <xf numFmtId="165" fontId="24" fillId="4" borderId="17" xfId="1" applyNumberFormat="1" applyFont="1" applyFill="1" applyBorder="1" applyAlignment="1">
      <alignment horizontal="left"/>
    </xf>
    <xf numFmtId="0" fontId="18" fillId="4" borderId="18" xfId="4" applyFont="1" applyFill="1" applyBorder="1"/>
    <xf numFmtId="3" fontId="25" fillId="4" borderId="18" xfId="0" applyNumberFormat="1" applyFont="1" applyFill="1" applyBorder="1"/>
    <xf numFmtId="3" fontId="25" fillId="4" borderId="19" xfId="0" applyNumberFormat="1" applyFont="1" applyFill="1" applyBorder="1"/>
    <xf numFmtId="0" fontId="1" fillId="2" borderId="0" xfId="4" quotePrefix="1" applyFont="1" applyFill="1"/>
    <xf numFmtId="0" fontId="1" fillId="5" borderId="0" xfId="11" applyFill="1"/>
    <xf numFmtId="0" fontId="1" fillId="7" borderId="31" xfId="11" applyFill="1" applyBorder="1"/>
    <xf numFmtId="0" fontId="1" fillId="7" borderId="32" xfId="11" applyFill="1" applyBorder="1"/>
    <xf numFmtId="0" fontId="1" fillId="4" borderId="24" xfId="11" applyFill="1" applyBorder="1"/>
    <xf numFmtId="0" fontId="1" fillId="4" borderId="30" xfId="11" applyFill="1" applyBorder="1"/>
    <xf numFmtId="0" fontId="1" fillId="4" borderId="25" xfId="11" applyFill="1" applyBorder="1"/>
    <xf numFmtId="0" fontId="1" fillId="4" borderId="26" xfId="11" applyFill="1" applyBorder="1"/>
    <xf numFmtId="170" fontId="6" fillId="4" borderId="0" xfId="12" applyNumberFormat="1" applyFont="1" applyFill="1" applyBorder="1" applyAlignment="1">
      <alignment horizontal="center"/>
    </xf>
    <xf numFmtId="0" fontId="6" fillId="4" borderId="0" xfId="11" applyFont="1" applyFill="1" applyBorder="1" applyAlignment="1">
      <alignment horizontal="center"/>
    </xf>
    <xf numFmtId="0" fontId="6" fillId="4" borderId="26" xfId="11" applyFont="1" applyFill="1" applyBorder="1" applyAlignment="1">
      <alignment horizontal="center"/>
    </xf>
    <xf numFmtId="0" fontId="6" fillId="4" borderId="0" xfId="11" applyFont="1" applyFill="1" applyAlignment="1">
      <alignment horizontal="center"/>
    </xf>
    <xf numFmtId="0" fontId="6" fillId="4" borderId="27" xfId="11" applyFont="1" applyFill="1" applyBorder="1" applyAlignment="1">
      <alignment horizontal="center"/>
    </xf>
    <xf numFmtId="0" fontId="1" fillId="4" borderId="26" xfId="11" applyFont="1" applyFill="1" applyBorder="1"/>
    <xf numFmtId="9" fontId="7" fillId="4" borderId="0" xfId="13" applyFont="1" applyFill="1" applyBorder="1" applyAlignment="1">
      <alignment horizontal="left"/>
    </xf>
    <xf numFmtId="170" fontId="1" fillId="4" borderId="0" xfId="12" applyNumberFormat="1" applyFill="1" applyBorder="1"/>
    <xf numFmtId="0" fontId="1" fillId="4" borderId="27" xfId="11" applyFill="1" applyBorder="1"/>
    <xf numFmtId="170" fontId="1" fillId="4" borderId="0" xfId="11" applyNumberFormat="1" applyFill="1" applyBorder="1"/>
    <xf numFmtId="0" fontId="6" fillId="4" borderId="26" xfId="11" applyFont="1" applyFill="1" applyBorder="1"/>
    <xf numFmtId="170" fontId="6" fillId="4" borderId="0" xfId="11" applyNumberFormat="1" applyFont="1" applyFill="1" applyBorder="1"/>
    <xf numFmtId="0" fontId="1" fillId="4" borderId="28" xfId="11" applyFill="1" applyBorder="1"/>
    <xf numFmtId="9" fontId="1" fillId="4" borderId="12" xfId="13" applyNumberFormat="1" applyFill="1" applyBorder="1"/>
    <xf numFmtId="0" fontId="1" fillId="4" borderId="29" xfId="11" applyFill="1" applyBorder="1"/>
    <xf numFmtId="170" fontId="1" fillId="4" borderId="30" xfId="12" applyNumberFormat="1" applyFill="1" applyBorder="1"/>
    <xf numFmtId="170" fontId="10" fillId="4" borderId="33" xfId="12" applyNumberFormat="1" applyFont="1" applyFill="1" applyBorder="1"/>
    <xf numFmtId="167" fontId="10" fillId="4" borderId="33" xfId="11" applyNumberFormat="1" applyFont="1" applyFill="1" applyBorder="1"/>
    <xf numFmtId="9" fontId="7" fillId="4" borderId="27" xfId="13" applyNumberFormat="1" applyFont="1" applyFill="1" applyBorder="1" applyAlignment="1">
      <alignment horizontal="left"/>
    </xf>
    <xf numFmtId="0" fontId="1" fillId="4" borderId="0" xfId="11" applyFill="1" applyBorder="1"/>
    <xf numFmtId="171" fontId="10" fillId="4" borderId="27" xfId="11" applyNumberFormat="1" applyFont="1" applyFill="1" applyBorder="1"/>
    <xf numFmtId="0" fontId="1" fillId="0" borderId="26" xfId="11" applyFill="1" applyBorder="1"/>
    <xf numFmtId="170" fontId="6" fillId="4" borderId="0" xfId="12" applyNumberFormat="1" applyFont="1" applyFill="1" applyBorder="1"/>
    <xf numFmtId="170" fontId="1" fillId="4" borderId="0" xfId="12" applyNumberFormat="1" applyFont="1" applyFill="1" applyBorder="1"/>
    <xf numFmtId="2" fontId="6" fillId="4" borderId="0" xfId="12" applyNumberFormat="1" applyFont="1" applyFill="1" applyBorder="1" applyAlignment="1"/>
    <xf numFmtId="167" fontId="27" fillId="4" borderId="33" xfId="11" applyNumberFormat="1" applyFont="1" applyFill="1" applyBorder="1"/>
    <xf numFmtId="0" fontId="6" fillId="4" borderId="28" xfId="11" applyFont="1" applyFill="1" applyBorder="1"/>
    <xf numFmtId="0" fontId="6" fillId="0" borderId="28" xfId="11" applyFont="1" applyFill="1" applyBorder="1"/>
    <xf numFmtId="9" fontId="7" fillId="4" borderId="29" xfId="13" applyNumberFormat="1" applyFont="1" applyFill="1" applyBorder="1" applyAlignment="1">
      <alignment horizontal="left"/>
    </xf>
    <xf numFmtId="170" fontId="6" fillId="4" borderId="12" xfId="11" applyNumberFormat="1" applyFont="1" applyFill="1" applyBorder="1"/>
    <xf numFmtId="2" fontId="1" fillId="4" borderId="30" xfId="12" applyNumberFormat="1" applyFill="1" applyBorder="1"/>
    <xf numFmtId="9" fontId="1" fillId="4" borderId="0" xfId="13" applyFill="1" applyBorder="1"/>
    <xf numFmtId="0" fontId="6" fillId="0" borderId="26" xfId="11" applyFont="1" applyFill="1" applyBorder="1"/>
    <xf numFmtId="9" fontId="7" fillId="4" borderId="27" xfId="13" applyFont="1" applyFill="1" applyBorder="1" applyAlignment="1">
      <alignment horizontal="left"/>
    </xf>
    <xf numFmtId="170" fontId="14" fillId="4" borderId="33" xfId="12" applyNumberFormat="1" applyFont="1" applyFill="1" applyBorder="1"/>
    <xf numFmtId="0" fontId="1" fillId="4" borderId="12" xfId="11" applyFill="1" applyBorder="1"/>
    <xf numFmtId="9" fontId="1" fillId="4" borderId="12" xfId="13" applyFill="1" applyBorder="1"/>
    <xf numFmtId="0" fontId="1" fillId="4" borderId="30" xfId="11" applyFont="1" applyFill="1" applyBorder="1" applyAlignment="1">
      <alignment horizontal="right"/>
    </xf>
    <xf numFmtId="9" fontId="1" fillId="4" borderId="30" xfId="13" applyFill="1" applyBorder="1"/>
    <xf numFmtId="0" fontId="1" fillId="4" borderId="0" xfId="11" applyFont="1" applyFill="1" applyBorder="1" applyAlignment="1">
      <alignment horizontal="right"/>
    </xf>
    <xf numFmtId="0" fontId="7" fillId="4" borderId="28" xfId="11" applyFont="1" applyFill="1" applyBorder="1"/>
    <xf numFmtId="0" fontId="35" fillId="2" borderId="0" xfId="4" applyFont="1" applyFill="1"/>
    <xf numFmtId="0" fontId="1" fillId="7" borderId="0" xfId="11" applyFill="1" applyBorder="1"/>
    <xf numFmtId="170" fontId="10" fillId="4" borderId="33" xfId="11" applyNumberFormat="1" applyFont="1" applyFill="1" applyBorder="1"/>
    <xf numFmtId="170" fontId="6" fillId="4" borderId="0" xfId="12" applyNumberFormat="1" applyFont="1" applyFill="1" applyBorder="1" applyAlignment="1"/>
    <xf numFmtId="1" fontId="6" fillId="4" borderId="12" xfId="12" applyNumberFormat="1" applyFont="1" applyFill="1" applyBorder="1"/>
    <xf numFmtId="1" fontId="6" fillId="4" borderId="0" xfId="12" applyNumberFormat="1" applyFont="1" applyFill="1" applyBorder="1"/>
    <xf numFmtId="1" fontId="1" fillId="4" borderId="0" xfId="13" applyNumberFormat="1" applyFill="1" applyBorder="1"/>
    <xf numFmtId="1" fontId="1" fillId="4" borderId="0" xfId="12" applyNumberFormat="1" applyFill="1" applyBorder="1"/>
    <xf numFmtId="1" fontId="1" fillId="4" borderId="0" xfId="12" applyNumberFormat="1" applyFont="1" applyFill="1" applyBorder="1"/>
    <xf numFmtId="170" fontId="6" fillId="4" borderId="0" xfId="11" applyNumberFormat="1" applyFont="1" applyFill="1" applyBorder="1" applyAlignment="1">
      <alignment horizontal="center"/>
    </xf>
    <xf numFmtId="0" fontId="2" fillId="6" borderId="30" xfId="11" applyFont="1" applyFill="1" applyBorder="1"/>
    <xf numFmtId="0" fontId="2" fillId="6" borderId="25" xfId="11" applyFont="1" applyFill="1" applyBorder="1"/>
    <xf numFmtId="0" fontId="2" fillId="6" borderId="28" xfId="11" applyFont="1" applyFill="1" applyBorder="1"/>
    <xf numFmtId="0" fontId="5" fillId="6" borderId="12" xfId="11" applyFont="1" applyFill="1" applyBorder="1"/>
    <xf numFmtId="170" fontId="3" fillId="6" borderId="12" xfId="12" applyNumberFormat="1" applyFont="1" applyFill="1" applyBorder="1"/>
    <xf numFmtId="0" fontId="3" fillId="6" borderId="12" xfId="11" applyFont="1" applyFill="1" applyBorder="1"/>
    <xf numFmtId="0" fontId="5" fillId="6" borderId="29" xfId="11" applyFont="1" applyFill="1" applyBorder="1"/>
    <xf numFmtId="43" fontId="14" fillId="4" borderId="33" xfId="14" applyNumberFormat="1" applyFont="1" applyFill="1" applyBorder="1"/>
    <xf numFmtId="170" fontId="1" fillId="4" borderId="27" xfId="11" applyNumberFormat="1" applyFill="1" applyBorder="1"/>
    <xf numFmtId="3" fontId="2" fillId="6" borderId="24" xfId="11" applyNumberFormat="1" applyFont="1" applyFill="1" applyBorder="1"/>
    <xf numFmtId="0" fontId="18" fillId="4" borderId="25" xfId="11" applyFont="1" applyFill="1" applyBorder="1" applyAlignment="1">
      <alignment horizontal="center"/>
    </xf>
    <xf numFmtId="3" fontId="2" fillId="6" borderId="0" xfId="11" applyNumberFormat="1" applyFont="1" applyFill="1" applyBorder="1"/>
    <xf numFmtId="0" fontId="38" fillId="0" borderId="0" xfId="0" applyFont="1" applyBorder="1"/>
    <xf numFmtId="0" fontId="38" fillId="0" borderId="0" xfId="0" applyFont="1" applyBorder="1" applyAlignment="1">
      <alignment horizontal="center" wrapText="1"/>
    </xf>
    <xf numFmtId="0" fontId="39" fillId="0" borderId="0" xfId="0" applyFont="1" applyBorder="1"/>
    <xf numFmtId="1" fontId="38" fillId="0" borderId="0" xfId="0" applyNumberFormat="1" applyFont="1" applyBorder="1"/>
    <xf numFmtId="171" fontId="38" fillId="0" borderId="0" xfId="0" applyNumberFormat="1" applyFont="1" applyBorder="1"/>
    <xf numFmtId="9" fontId="38" fillId="0" borderId="0" xfId="0" applyNumberFormat="1" applyFont="1" applyBorder="1"/>
    <xf numFmtId="1" fontId="40" fillId="0" borderId="0" xfId="0" applyNumberFormat="1" applyFont="1" applyBorder="1"/>
    <xf numFmtId="0" fontId="40" fillId="0" borderId="0" xfId="0" applyFont="1" applyBorder="1"/>
    <xf numFmtId="164" fontId="1" fillId="4" borderId="0" xfId="5" applyFont="1" applyFill="1" applyBorder="1" applyAlignment="1">
      <alignment horizontal="right"/>
    </xf>
    <xf numFmtId="38" fontId="38" fillId="0" borderId="0" xfId="1" applyNumberFormat="1" applyFont="1" applyBorder="1"/>
    <xf numFmtId="167" fontId="38" fillId="0" borderId="0" xfId="3" applyNumberFormat="1" applyFont="1" applyBorder="1"/>
    <xf numFmtId="1" fontId="39" fillId="0" borderId="0" xfId="0" applyNumberFormat="1" applyFont="1" applyBorder="1"/>
    <xf numFmtId="9" fontId="39" fillId="0" borderId="0" xfId="3" applyFont="1" applyBorder="1"/>
    <xf numFmtId="9" fontId="10" fillId="4" borderId="0" xfId="3" applyNumberFormat="1" applyFont="1" applyFill="1" applyBorder="1"/>
  </cellXfs>
  <cellStyles count="19">
    <cellStyle name="Comma" xfId="1" builtinId="3"/>
    <cellStyle name="Comma [0] 2" xfId="14"/>
    <cellStyle name="Comma 2" xfId="7"/>
    <cellStyle name="Comma 2 2" xfId="16"/>
    <cellStyle name="Comma 3" xfId="12"/>
    <cellStyle name="Comma 4" xfId="10"/>
    <cellStyle name="Comma_FDI How and Why" xfId="5"/>
    <cellStyle name="Currency" xfId="2" builtinId="4"/>
    <cellStyle name="Currency [0] 2" xfId="18"/>
    <cellStyle name="Normal" xfId="0" builtinId="0"/>
    <cellStyle name="Normal 2" xfId="8"/>
    <cellStyle name="Normal 2 2" xfId="15"/>
    <cellStyle name="Normal 3" xfId="11"/>
    <cellStyle name="Normal_FDI How and Why" xfId="4"/>
    <cellStyle name="Percent" xfId="3" builtinId="5"/>
    <cellStyle name="Percent 2" xfId="6"/>
    <cellStyle name="Percent 2 2" xfId="17"/>
    <cellStyle name="Percent 3" xfId="9"/>
    <cellStyle name="Percent 4" xfId="13"/>
  </cellStyles>
  <dxfs count="27"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57879656160528E-2"/>
          <c:y val="6.8702460794521636E-2"/>
          <c:w val="0.62750716332378265"/>
          <c:h val="0.81425138719432644"/>
        </c:manualLayout>
      </c:layout>
      <c:lineChart>
        <c:grouping val="standard"/>
        <c:varyColors val="0"/>
        <c:ser>
          <c:idx val="0"/>
          <c:order val="0"/>
          <c:tx>
            <c:v>Variable costs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</c:numLit>
          </c:cat>
          <c:val>
            <c:numLit>
              <c:formatCode>General</c:formatCode>
              <c:ptCount val="6"/>
              <c:pt idx="0">
                <c:v>1076.6520166666669</c:v>
              </c:pt>
              <c:pt idx="1">
                <c:v>1511.3032083333337</c:v>
              </c:pt>
              <c:pt idx="2">
                <c:v>1750.8207366666668</c:v>
              </c:pt>
              <c:pt idx="3">
                <c:v>1770.9874033333335</c:v>
              </c:pt>
              <c:pt idx="4">
                <c:v>1793.1707366666669</c:v>
              </c:pt>
              <c:pt idx="5">
                <c:v>1817.5724033333336</c:v>
              </c:pt>
            </c:numLit>
          </c:val>
          <c:smooth val="0"/>
        </c:ser>
        <c:ser>
          <c:idx val="1"/>
          <c:order val="1"/>
          <c:tx>
            <c:v>Overhead (FC3) + TA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</c:numLit>
          </c:cat>
          <c:val>
            <c:numLit>
              <c:formatCode>General</c:formatCode>
              <c:ptCount val="6"/>
              <c:pt idx="0">
                <c:v>60</c:v>
              </c:pt>
              <c:pt idx="1">
                <c:v>70</c:v>
              </c:pt>
              <c:pt idx="2">
                <c:v>88.4</c:v>
              </c:pt>
              <c:pt idx="3">
                <c:v>88.4</c:v>
              </c:pt>
              <c:pt idx="4">
                <c:v>88.4</c:v>
              </c:pt>
              <c:pt idx="5">
                <c:v>88.4</c:v>
              </c:pt>
            </c:numLit>
          </c:val>
          <c:smooth val="0"/>
        </c:ser>
        <c:ser>
          <c:idx val="2"/>
          <c:order val="2"/>
          <c:tx>
            <c:v>Total Revenues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</c:numLit>
          </c:cat>
          <c:val>
            <c:numLit>
              <c:formatCode>General</c:formatCode>
              <c:ptCount val="6"/>
              <c:pt idx="0">
                <c:v>1433.605</c:v>
              </c:pt>
              <c:pt idx="1">
                <c:v>2070.4075000000003</c:v>
              </c:pt>
              <c:pt idx="2">
                <c:v>2462.489</c:v>
              </c:pt>
              <c:pt idx="3">
                <c:v>2486.6890000000003</c:v>
              </c:pt>
              <c:pt idx="4">
                <c:v>2513.3090000000002</c:v>
              </c:pt>
              <c:pt idx="5">
                <c:v>2542.5910000000003</c:v>
              </c:pt>
            </c:numLit>
          </c:val>
          <c:smooth val="0"/>
        </c:ser>
        <c:ser>
          <c:idx val="3"/>
          <c:order val="3"/>
          <c:tx>
            <c:v>Profit after tax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</c:numLit>
          </c:cat>
          <c:val>
            <c:numLit>
              <c:formatCode>General</c:formatCode>
              <c:ptCount val="6"/>
              <c:pt idx="0">
                <c:v>198.22830622397282</c:v>
              </c:pt>
              <c:pt idx="1">
                <c:v>373.17085101563976</c:v>
              </c:pt>
              <c:pt idx="2">
                <c:v>493.59998133615233</c:v>
              </c:pt>
              <c:pt idx="3">
                <c:v>498.03381194192195</c:v>
              </c:pt>
              <c:pt idx="4">
                <c:v>502.02448501884498</c:v>
              </c:pt>
              <c:pt idx="5">
                <c:v>506.41422540346014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75536"/>
        <c:axId val="271182200"/>
      </c:lineChart>
      <c:catAx>
        <c:axId val="27117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182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182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175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52432475843166"/>
          <c:y val="0.36386848590491444"/>
          <c:w val="0.25501429150285493"/>
          <c:h val="0.22646363861005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34</xdr:row>
      <xdr:rowOff>38100</xdr:rowOff>
    </xdr:from>
    <xdr:to>
      <xdr:col>11</xdr:col>
      <xdr:colOff>438150</xdr:colOff>
      <xdr:row>54</xdr:row>
      <xdr:rowOff>104775</xdr:rowOff>
    </xdr:to>
    <xdr:graphicFrame macro="">
      <xdr:nvGraphicFramePr>
        <xdr:cNvPr id="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ivier/AppData/Local/Microsoft/Windows/Temporary%20Internet%20Files/Content.Outlook/4MJD8DMU/Kopie%20van%20CB4%20Delightful%20Foods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ier's%20Documents/BI/BI%20Somaliland%20Hassan%20Brothe/CB4%20Hassan%20Brothers%20Bak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4 Delightful"/>
      <sheetName val="CB4 Delightful (2)"/>
      <sheetName val="CB4 Delightful (3)"/>
      <sheetName val="CB4 Delightful (4)"/>
      <sheetName val="Building"/>
      <sheetName val="Equipment"/>
      <sheetName val="Equipment (kW)"/>
      <sheetName val="Equipment Layout"/>
      <sheetName val="Functional Layout"/>
      <sheetName val="Bakery Systems"/>
      <sheetName val="Equipment groups"/>
    </sheetNames>
    <sheetDataSet>
      <sheetData sheetId="0">
        <row r="1">
          <cell r="K1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Building"/>
      <sheetName val="CB4 S0-HBB-400k"/>
      <sheetName val="CB4 S0-HBB-100k"/>
      <sheetName val="Timeline"/>
      <sheetName val="Bakery equipment"/>
    </sheetNames>
    <sheetDataSet>
      <sheetData sheetId="0"/>
      <sheetData sheetId="1">
        <row r="3">
          <cell r="R3">
            <v>2014</v>
          </cell>
        </row>
        <row r="54">
          <cell r="Q54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F8" sqref="F8:F9"/>
    </sheetView>
  </sheetViews>
  <sheetFormatPr defaultRowHeight="12.75" x14ac:dyDescent="0.2"/>
  <cols>
    <col min="1" max="1" width="4.42578125" style="297" customWidth="1"/>
    <col min="2" max="2" width="17.140625" style="297" customWidth="1"/>
    <col min="3" max="3" width="8.28515625" style="297" customWidth="1"/>
    <col min="4" max="4" width="10" style="297" customWidth="1"/>
    <col min="5" max="5" width="12" style="297" customWidth="1"/>
    <col min="6" max="7" width="10.5703125" style="297" customWidth="1"/>
    <col min="8" max="8" width="12.140625" style="297" customWidth="1"/>
    <col min="9" max="10" width="12" style="297" customWidth="1"/>
    <col min="11" max="11" width="10.42578125" style="297" customWidth="1"/>
    <col min="12" max="16384" width="9.140625" style="297"/>
  </cols>
  <sheetData>
    <row r="1" spans="2:11" ht="18" x14ac:dyDescent="0.25">
      <c r="B1" s="296" t="str">
        <f>'CB4'!R2</f>
        <v>Almonds &amp; Vanilla Cakes, Lekki</v>
      </c>
      <c r="C1" s="296"/>
      <c r="D1" s="296"/>
      <c r="E1" s="296"/>
      <c r="F1" s="296"/>
      <c r="G1" s="296"/>
      <c r="H1" s="296"/>
      <c r="I1" s="296"/>
      <c r="J1" s="296"/>
      <c r="K1" s="296"/>
    </row>
    <row r="2" spans="2:11" ht="25.5" x14ac:dyDescent="0.2">
      <c r="C2" s="297" t="s">
        <v>301</v>
      </c>
      <c r="D2" s="297" t="s">
        <v>302</v>
      </c>
      <c r="E2" s="298" t="s">
        <v>288</v>
      </c>
      <c r="F2" s="298" t="s">
        <v>285</v>
      </c>
      <c r="G2" s="298" t="s">
        <v>309</v>
      </c>
      <c r="H2" s="298" t="s">
        <v>289</v>
      </c>
      <c r="I2" s="298" t="s">
        <v>286</v>
      </c>
      <c r="J2" s="298" t="s">
        <v>284</v>
      </c>
      <c r="K2" s="298" t="s">
        <v>290</v>
      </c>
    </row>
    <row r="3" spans="2:11" x14ac:dyDescent="0.2">
      <c r="B3" s="297" t="s">
        <v>291</v>
      </c>
      <c r="C3" s="299">
        <v>900</v>
      </c>
      <c r="D3" s="300">
        <f>C3*J3</f>
        <v>152.54237288135596</v>
      </c>
      <c r="E3" s="299">
        <v>4000</v>
      </c>
      <c r="F3" s="300">
        <f t="shared" ref="F3:F11" si="0">H3/350*1000</f>
        <v>7.2639225181598075</v>
      </c>
      <c r="G3" s="300">
        <f>C3*F3/1000</f>
        <v>6.5375302663438273</v>
      </c>
      <c r="H3" s="301">
        <f t="shared" ref="H3:H11" si="1">I3/E3</f>
        <v>2.5423728813559325</v>
      </c>
      <c r="I3" s="300">
        <f t="shared" ref="I3:I11" si="2">J3*$I$12</f>
        <v>10169.491525423729</v>
      </c>
      <c r="J3" s="309">
        <v>0.16949152542372883</v>
      </c>
      <c r="K3" s="300">
        <f>E3*J3</f>
        <v>677.96610169491532</v>
      </c>
    </row>
    <row r="4" spans="2:11" x14ac:dyDescent="0.2">
      <c r="B4" s="297" t="s">
        <v>292</v>
      </c>
      <c r="C4" s="299">
        <v>50</v>
      </c>
      <c r="D4" s="300">
        <f t="shared" ref="D4:D11" si="3">C4*J4</f>
        <v>12.711864406779661</v>
      </c>
      <c r="E4" s="299">
        <v>100</v>
      </c>
      <c r="F4" s="300">
        <f t="shared" si="0"/>
        <v>435.83535108958836</v>
      </c>
      <c r="G4" s="300">
        <f t="shared" ref="G4:G11" si="4">C4*F4/1000</f>
        <v>21.791767554479417</v>
      </c>
      <c r="H4" s="301">
        <f t="shared" si="1"/>
        <v>152.54237288135593</v>
      </c>
      <c r="I4" s="300">
        <f t="shared" si="2"/>
        <v>15254.237288135593</v>
      </c>
      <c r="J4" s="309">
        <v>0.25423728813559321</v>
      </c>
      <c r="K4" s="300">
        <f t="shared" ref="K4:K11" si="5">E4*J4</f>
        <v>25.423728813559322</v>
      </c>
    </row>
    <row r="5" spans="2:11" x14ac:dyDescent="0.2">
      <c r="B5" s="297" t="s">
        <v>293</v>
      </c>
      <c r="C5" s="308">
        <f>6*6</f>
        <v>36</v>
      </c>
      <c r="D5" s="300">
        <f t="shared" si="3"/>
        <v>3.050847457627119</v>
      </c>
      <c r="E5" s="299">
        <v>100</v>
      </c>
      <c r="F5" s="300">
        <f t="shared" si="0"/>
        <v>145.27845036319613</v>
      </c>
      <c r="G5" s="300">
        <f t="shared" si="4"/>
        <v>5.23002421307506</v>
      </c>
      <c r="H5" s="301">
        <f t="shared" si="1"/>
        <v>50.847457627118644</v>
      </c>
      <c r="I5" s="300">
        <f t="shared" si="2"/>
        <v>5084.7457627118647</v>
      </c>
      <c r="J5" s="309">
        <v>8.4745762711864417E-2</v>
      </c>
      <c r="K5" s="300">
        <f t="shared" si="5"/>
        <v>8.4745762711864412</v>
      </c>
    </row>
    <row r="6" spans="2:11" x14ac:dyDescent="0.2">
      <c r="B6" s="297" t="s">
        <v>304</v>
      </c>
      <c r="C6" s="308">
        <v>150</v>
      </c>
      <c r="D6" s="300">
        <f t="shared" si="3"/>
        <v>12.711864406779663</v>
      </c>
      <c r="E6" s="299">
        <v>100</v>
      </c>
      <c r="F6" s="300">
        <f t="shared" si="0"/>
        <v>145.27845036319613</v>
      </c>
      <c r="G6" s="300">
        <f t="shared" si="4"/>
        <v>21.791767554479417</v>
      </c>
      <c r="H6" s="301">
        <f t="shared" si="1"/>
        <v>50.847457627118644</v>
      </c>
      <c r="I6" s="300">
        <f t="shared" si="2"/>
        <v>5084.7457627118647</v>
      </c>
      <c r="J6" s="309">
        <v>8.4745762711864417E-2</v>
      </c>
      <c r="K6" s="300">
        <f t="shared" si="5"/>
        <v>8.4745762711864412</v>
      </c>
    </row>
    <row r="7" spans="2:11" x14ac:dyDescent="0.2">
      <c r="B7" s="297" t="s">
        <v>305</v>
      </c>
      <c r="C7" s="299">
        <v>120</v>
      </c>
      <c r="D7" s="300">
        <f t="shared" si="3"/>
        <v>10.16949152542373</v>
      </c>
      <c r="E7" s="299">
        <v>100</v>
      </c>
      <c r="F7" s="300">
        <f t="shared" si="0"/>
        <v>145.27845036319613</v>
      </c>
      <c r="G7" s="300">
        <f t="shared" si="4"/>
        <v>17.433414043583536</v>
      </c>
      <c r="H7" s="301">
        <f t="shared" si="1"/>
        <v>50.847457627118644</v>
      </c>
      <c r="I7" s="300">
        <f t="shared" si="2"/>
        <v>5084.7457627118647</v>
      </c>
      <c r="J7" s="309">
        <v>8.4745762711864417E-2</v>
      </c>
      <c r="K7" s="300">
        <f t="shared" si="5"/>
        <v>8.4745762711864412</v>
      </c>
    </row>
    <row r="8" spans="2:11" x14ac:dyDescent="0.2">
      <c r="B8" s="297" t="s">
        <v>306</v>
      </c>
      <c r="C8" s="299">
        <v>800</v>
      </c>
      <c r="D8" s="300">
        <f t="shared" si="3"/>
        <v>81.355932203389841</v>
      </c>
      <c r="E8" s="299">
        <v>200</v>
      </c>
      <c r="F8" s="300">
        <f t="shared" si="0"/>
        <v>87.167070217917683</v>
      </c>
      <c r="G8" s="300">
        <f t="shared" si="4"/>
        <v>69.733656174334143</v>
      </c>
      <c r="H8" s="301">
        <f t="shared" si="1"/>
        <v>30.508474576271187</v>
      </c>
      <c r="I8" s="300">
        <f t="shared" si="2"/>
        <v>6101.6949152542375</v>
      </c>
      <c r="J8" s="309">
        <v>0.10169491525423729</v>
      </c>
      <c r="K8" s="300">
        <f t="shared" si="5"/>
        <v>20.33898305084746</v>
      </c>
    </row>
    <row r="9" spans="2:11" x14ac:dyDescent="0.2">
      <c r="B9" s="297" t="s">
        <v>294</v>
      </c>
      <c r="C9" s="299">
        <v>800</v>
      </c>
      <c r="D9" s="300">
        <f t="shared" si="3"/>
        <v>88.13559322033899</v>
      </c>
      <c r="E9" s="299">
        <v>300</v>
      </c>
      <c r="F9" s="300">
        <f t="shared" si="0"/>
        <v>62.953995157384995</v>
      </c>
      <c r="G9" s="300">
        <f t="shared" si="4"/>
        <v>50.363196125907997</v>
      </c>
      <c r="H9" s="301">
        <f t="shared" si="1"/>
        <v>22.033898305084747</v>
      </c>
      <c r="I9" s="300">
        <f t="shared" si="2"/>
        <v>6610.1694915254247</v>
      </c>
      <c r="J9" s="309">
        <v>0.11016949152542374</v>
      </c>
      <c r="K9" s="300">
        <f t="shared" si="5"/>
        <v>33.050847457627121</v>
      </c>
    </row>
    <row r="10" spans="2:11" x14ac:dyDescent="0.2">
      <c r="B10" s="297" t="s">
        <v>307</v>
      </c>
      <c r="C10" s="299">
        <v>90</v>
      </c>
      <c r="D10" s="300">
        <f t="shared" si="3"/>
        <v>3.8135593220338988</v>
      </c>
      <c r="E10" s="299">
        <v>100</v>
      </c>
      <c r="F10" s="300">
        <f t="shared" si="0"/>
        <v>72.639225181598064</v>
      </c>
      <c r="G10" s="300">
        <f t="shared" si="4"/>
        <v>6.5375302663438264</v>
      </c>
      <c r="H10" s="301">
        <f t="shared" si="1"/>
        <v>25.423728813559322</v>
      </c>
      <c r="I10" s="300">
        <f t="shared" si="2"/>
        <v>2542.3728813559323</v>
      </c>
      <c r="J10" s="309">
        <v>4.2372881355932208E-2</v>
      </c>
      <c r="K10" s="300">
        <f t="shared" si="5"/>
        <v>4.2372881355932206</v>
      </c>
    </row>
    <row r="11" spans="2:11" x14ac:dyDescent="0.2">
      <c r="B11" s="297" t="s">
        <v>308</v>
      </c>
      <c r="C11" s="299">
        <v>150</v>
      </c>
      <c r="D11" s="300">
        <f t="shared" si="3"/>
        <v>10.169491525423728</v>
      </c>
      <c r="E11" s="299">
        <v>200</v>
      </c>
      <c r="F11" s="300">
        <f t="shared" si="0"/>
        <v>58.111380145278446</v>
      </c>
      <c r="G11" s="300">
        <f t="shared" si="4"/>
        <v>8.7167070217917662</v>
      </c>
      <c r="H11" s="301">
        <f t="shared" si="1"/>
        <v>20.338983050847457</v>
      </c>
      <c r="I11" s="300">
        <f t="shared" si="2"/>
        <v>4067.7966101694915</v>
      </c>
      <c r="J11" s="309">
        <v>6.7796610169491525E-2</v>
      </c>
      <c r="K11" s="300">
        <f t="shared" si="5"/>
        <v>13.559322033898304</v>
      </c>
    </row>
    <row r="12" spans="2:11" x14ac:dyDescent="0.2">
      <c r="B12" s="304" t="s">
        <v>68</v>
      </c>
      <c r="C12" s="304"/>
      <c r="D12" s="303">
        <f>SUM(D3:D11)</f>
        <v>374.66101694915255</v>
      </c>
      <c r="E12" s="297">
        <f>K12</f>
        <v>800.00000000000023</v>
      </c>
      <c r="F12" s="303">
        <f t="shared" ref="F12:G12" si="6">SUM(F3:F11)</f>
        <v>1159.8062953995156</v>
      </c>
      <c r="G12" s="303">
        <f t="shared" si="6"/>
        <v>208.13559322033896</v>
      </c>
      <c r="I12" s="299">
        <v>60000</v>
      </c>
      <c r="J12" s="302">
        <f>SUM(J3:J11)</f>
        <v>1</v>
      </c>
      <c r="K12" s="297">
        <f>SUM(K3:K11)</f>
        <v>800.00000000000023</v>
      </c>
    </row>
    <row r="15" spans="2:11" x14ac:dyDescent="0.2">
      <c r="B15" s="297" t="s">
        <v>295</v>
      </c>
      <c r="E15" s="299"/>
      <c r="F15" s="299"/>
      <c r="G15" s="299"/>
      <c r="H15" s="299"/>
      <c r="I15" s="300">
        <f>I12*J15</f>
        <v>12000</v>
      </c>
      <c r="J15" s="302">
        <v>0.2</v>
      </c>
    </row>
    <row r="17" spans="2:10" x14ac:dyDescent="0.2">
      <c r="B17" s="297" t="s">
        <v>287</v>
      </c>
      <c r="E17" s="299"/>
      <c r="F17" s="299"/>
      <c r="G17" s="299"/>
      <c r="H17" s="299"/>
      <c r="I17" s="300">
        <f>I12*J17</f>
        <v>48000</v>
      </c>
      <c r="J17" s="302">
        <f>1-J15</f>
        <v>0.8</v>
      </c>
    </row>
    <row r="20" spans="2:10" x14ac:dyDescent="0.2">
      <c r="B20" s="297" t="s">
        <v>300</v>
      </c>
      <c r="C20" s="297" t="s">
        <v>311</v>
      </c>
      <c r="E20" s="301">
        <f>16*D12/1000</f>
        <v>5.9945762711864408</v>
      </c>
      <c r="F20" s="297" t="s">
        <v>310</v>
      </c>
    </row>
    <row r="21" spans="2:10" x14ac:dyDescent="0.2">
      <c r="C21" s="306">
        <f>16*22*360</f>
        <v>126720</v>
      </c>
      <c r="D21" s="297" t="s">
        <v>312</v>
      </c>
      <c r="E21" s="301">
        <f>18*D12/1000</f>
        <v>6.7438983050847456</v>
      </c>
      <c r="G21" s="300">
        <f>G12/8</f>
        <v>26.01694915254237</v>
      </c>
      <c r="H21" s="297" t="s">
        <v>310</v>
      </c>
    </row>
    <row r="22" spans="2:10" x14ac:dyDescent="0.2">
      <c r="C22" s="306">
        <f>18*22*360</f>
        <v>142560</v>
      </c>
      <c r="F22" s="300"/>
      <c r="G22" s="300"/>
      <c r="H22" s="30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B1:L41"/>
  <sheetViews>
    <sheetView zoomScale="90" zoomScaleNormal="90" workbookViewId="0">
      <selection activeCell="H16" sqref="H16"/>
    </sheetView>
  </sheetViews>
  <sheetFormatPr defaultRowHeight="12.75" x14ac:dyDescent="0.2"/>
  <cols>
    <col min="1" max="1" width="3" style="227" customWidth="1"/>
    <col min="2" max="2" width="41.140625" style="227" customWidth="1"/>
    <col min="3" max="3" width="8.7109375" style="227" hidden="1" customWidth="1"/>
    <col min="4" max="4" width="8.140625" style="227" customWidth="1"/>
    <col min="5" max="5" width="6.85546875" style="227" customWidth="1"/>
    <col min="6" max="6" width="34.7109375" style="227" bestFit="1" customWidth="1"/>
    <col min="7" max="7" width="40" style="227" hidden="1" customWidth="1"/>
    <col min="8" max="8" width="13" style="227" customWidth="1"/>
    <col min="9" max="9" width="11.85546875" style="227" customWidth="1"/>
    <col min="10" max="10" width="3.5703125" style="227" customWidth="1"/>
    <col min="11" max="11" width="5.28515625" style="227" bestFit="1" customWidth="1"/>
    <col min="12" max="12" width="7.28515625" style="227" customWidth="1"/>
    <col min="13" max="13" width="8.28515625" style="227" customWidth="1"/>
    <col min="14" max="16" width="9.140625" style="227"/>
    <col min="17" max="17" width="8.42578125" style="227" customWidth="1"/>
    <col min="18" max="16384" width="9.140625" style="227"/>
  </cols>
  <sheetData>
    <row r="1" spans="2:12" x14ac:dyDescent="0.2">
      <c r="K1" s="228" t="s">
        <v>177</v>
      </c>
      <c r="L1" s="229">
        <v>1</v>
      </c>
    </row>
    <row r="2" spans="2:12" ht="18" x14ac:dyDescent="0.25">
      <c r="B2" s="294" t="str">
        <f>'CB4'!G2</f>
        <v>Almonds &amp; Vanilla Cakes, Lekki</v>
      </c>
      <c r="C2" s="285" t="s">
        <v>275</v>
      </c>
      <c r="D2" s="285"/>
      <c r="E2" s="285"/>
      <c r="F2" s="285"/>
      <c r="G2" s="285"/>
      <c r="H2" s="285"/>
      <c r="I2" s="286"/>
      <c r="K2" s="276"/>
      <c r="L2" s="276"/>
    </row>
    <row r="3" spans="2:12" ht="18" x14ac:dyDescent="0.25">
      <c r="B3" s="287" t="s">
        <v>280</v>
      </c>
      <c r="C3" s="288" t="s">
        <v>187</v>
      </c>
      <c r="D3" s="289"/>
      <c r="E3" s="290"/>
      <c r="F3" s="290"/>
      <c r="G3" s="290"/>
      <c r="H3" s="290"/>
      <c r="I3" s="291">
        <v>2014</v>
      </c>
    </row>
    <row r="4" spans="2:12" x14ac:dyDescent="0.2">
      <c r="B4" s="233"/>
      <c r="C4" s="233"/>
      <c r="D4" s="234" t="s">
        <v>276</v>
      </c>
      <c r="E4" s="253"/>
      <c r="F4" s="233"/>
      <c r="G4" s="233"/>
      <c r="H4" s="284" t="str">
        <f>D4</f>
        <v>NGN</v>
      </c>
      <c r="I4" s="242"/>
    </row>
    <row r="5" spans="2:12" x14ac:dyDescent="0.2">
      <c r="B5" s="233"/>
      <c r="C5" s="233"/>
      <c r="D5" s="234" t="s">
        <v>178</v>
      </c>
      <c r="E5" s="235"/>
      <c r="F5" s="236"/>
      <c r="G5" s="236"/>
      <c r="H5" s="237" t="s">
        <v>188</v>
      </c>
      <c r="I5" s="238"/>
    </row>
    <row r="6" spans="2:12" x14ac:dyDescent="0.2">
      <c r="B6" s="239" t="s">
        <v>189</v>
      </c>
      <c r="C6" s="233" t="s">
        <v>190</v>
      </c>
      <c r="D6" s="250">
        <f>178/0.78</f>
        <v>228.2051282051282</v>
      </c>
      <c r="E6" s="240"/>
      <c r="F6" s="233" t="s">
        <v>191</v>
      </c>
      <c r="G6" s="233" t="s">
        <v>192</v>
      </c>
      <c r="H6" s="241">
        <f>D9*H28</f>
        <v>209224835.16483516</v>
      </c>
      <c r="I6" s="242"/>
    </row>
    <row r="7" spans="2:12" x14ac:dyDescent="0.2">
      <c r="B7" s="239" t="s">
        <v>277</v>
      </c>
      <c r="C7" s="233" t="s">
        <v>193</v>
      </c>
      <c r="D7" s="250">
        <f>D6/1.05*0.05</f>
        <v>10.866910866910867</v>
      </c>
      <c r="E7" s="240"/>
      <c r="F7" s="233" t="s">
        <v>23</v>
      </c>
      <c r="G7" s="233" t="s">
        <v>194</v>
      </c>
      <c r="H7" s="243">
        <f>ROUND((D26*H28+H26)/10000,0)*10000</f>
        <v>179040000</v>
      </c>
      <c r="I7" s="242"/>
    </row>
    <row r="8" spans="2:12" x14ac:dyDescent="0.2">
      <c r="B8" s="239" t="s">
        <v>278</v>
      </c>
      <c r="C8" s="233" t="s">
        <v>195</v>
      </c>
      <c r="D8" s="250">
        <f>3000/500</f>
        <v>6</v>
      </c>
      <c r="E8" s="240"/>
      <c r="F8" s="244" t="s">
        <v>196</v>
      </c>
      <c r="G8" s="244" t="s">
        <v>197</v>
      </c>
      <c r="H8" s="245">
        <f>ROUND((H6-H7)/10000,0)*10000</f>
        <v>30180000</v>
      </c>
      <c r="I8" s="242"/>
    </row>
    <row r="9" spans="2:12" x14ac:dyDescent="0.2">
      <c r="B9" s="244" t="s">
        <v>198</v>
      </c>
      <c r="C9" s="244" t="s">
        <v>199</v>
      </c>
      <c r="D9" s="256">
        <f>D6-D8-D7</f>
        <v>211.33821733821733</v>
      </c>
      <c r="E9" s="240"/>
      <c r="F9" s="246" t="s">
        <v>200</v>
      </c>
      <c r="G9" s="246" t="s">
        <v>201</v>
      </c>
      <c r="H9" s="247">
        <f>H8/H6</f>
        <v>0.14424673809026098</v>
      </c>
      <c r="I9" s="248"/>
    </row>
    <row r="10" spans="2:12" x14ac:dyDescent="0.2">
      <c r="B10" s="230"/>
      <c r="C10" s="230"/>
      <c r="D10" s="249"/>
      <c r="E10" s="232"/>
      <c r="F10" s="230"/>
      <c r="G10" s="230"/>
      <c r="H10" s="231"/>
      <c r="I10" s="232"/>
    </row>
    <row r="11" spans="2:12" x14ac:dyDescent="0.2">
      <c r="B11" s="239" t="s">
        <v>202</v>
      </c>
      <c r="C11" s="233" t="s">
        <v>203</v>
      </c>
      <c r="D11" s="250">
        <v>129</v>
      </c>
      <c r="E11" s="242"/>
      <c r="F11" s="239" t="s">
        <v>204</v>
      </c>
      <c r="G11" s="233" t="s">
        <v>205</v>
      </c>
      <c r="H11" s="250">
        <v>90000000</v>
      </c>
      <c r="I11" s="242"/>
    </row>
    <row r="12" spans="2:12" x14ac:dyDescent="0.2">
      <c r="B12" s="233" t="s">
        <v>206</v>
      </c>
      <c r="C12" s="233" t="s">
        <v>207</v>
      </c>
      <c r="D12" s="292">
        <f>100/(200*0.78)*1.02</f>
        <v>0.65384615384615397</v>
      </c>
      <c r="E12" s="242"/>
      <c r="F12" s="233" t="s">
        <v>208</v>
      </c>
      <c r="G12" s="233" t="s">
        <v>209</v>
      </c>
      <c r="H12" s="251">
        <v>7.0000000000000007E-2</v>
      </c>
      <c r="I12" s="242"/>
    </row>
    <row r="13" spans="2:12" x14ac:dyDescent="0.2">
      <c r="B13" s="233" t="s">
        <v>210</v>
      </c>
      <c r="C13" s="233" t="s">
        <v>211</v>
      </c>
      <c r="D13" s="241">
        <f>D11*D12</f>
        <v>84.346153846153868</v>
      </c>
      <c r="E13" s="252">
        <f>D13/$D$26</f>
        <v>0.52084570331982727</v>
      </c>
      <c r="F13" s="244" t="s">
        <v>184</v>
      </c>
      <c r="G13" s="244" t="s">
        <v>184</v>
      </c>
      <c r="H13" s="245">
        <f>H11*H12</f>
        <v>6300000.0000000009</v>
      </c>
      <c r="I13" s="252">
        <f>H13/$H$24</f>
        <v>0.33653846153846156</v>
      </c>
    </row>
    <row r="14" spans="2:12" x14ac:dyDescent="0.2">
      <c r="B14" s="239" t="s">
        <v>212</v>
      </c>
      <c r="C14" s="233" t="s">
        <v>213</v>
      </c>
      <c r="D14" s="250">
        <f>5769/(200*0.78)</f>
        <v>36.980769230769234</v>
      </c>
      <c r="E14" s="252">
        <f>D14/$D$26</f>
        <v>0.22835984666758499</v>
      </c>
      <c r="F14" s="233"/>
      <c r="G14" s="233"/>
      <c r="H14" s="253"/>
      <c r="I14" s="252"/>
    </row>
    <row r="15" spans="2:12" x14ac:dyDescent="0.2">
      <c r="B15" s="244" t="s">
        <v>214</v>
      </c>
      <c r="C15" s="244" t="s">
        <v>214</v>
      </c>
      <c r="D15" s="256">
        <f>D13+D14</f>
        <v>121.32692307692309</v>
      </c>
      <c r="E15" s="252">
        <f>D15/$D$26</f>
        <v>0.74920554998741229</v>
      </c>
      <c r="F15" s="233" t="s">
        <v>215</v>
      </c>
      <c r="G15" s="233" t="s">
        <v>216</v>
      </c>
      <c r="H15" s="250">
        <f>38%*H11</f>
        <v>34200000</v>
      </c>
      <c r="I15" s="252"/>
    </row>
    <row r="16" spans="2:12" x14ac:dyDescent="0.2">
      <c r="B16" s="233"/>
      <c r="C16" s="233"/>
      <c r="D16" s="241"/>
      <c r="E16" s="242"/>
      <c r="F16" s="233" t="s">
        <v>217</v>
      </c>
      <c r="G16" s="233" t="s">
        <v>218</v>
      </c>
      <c r="H16" s="251">
        <v>0.1</v>
      </c>
      <c r="I16" s="242"/>
    </row>
    <row r="17" spans="2:9" x14ac:dyDescent="0.2">
      <c r="B17" s="233" t="s">
        <v>219</v>
      </c>
      <c r="C17" s="233" t="s">
        <v>220</v>
      </c>
      <c r="D17" s="250">
        <f>3.6*90*2+40*35</f>
        <v>2048</v>
      </c>
      <c r="E17" s="254"/>
      <c r="F17" s="244" t="s">
        <v>185</v>
      </c>
      <c r="G17" s="244" t="s">
        <v>185</v>
      </c>
      <c r="H17" s="245">
        <f>H15*H16</f>
        <v>3420000</v>
      </c>
      <c r="I17" s="252">
        <f>H17/$H$24</f>
        <v>0.18269230769230768</v>
      </c>
    </row>
    <row r="18" spans="2:9" x14ac:dyDescent="0.2">
      <c r="B18" s="239" t="s">
        <v>221</v>
      </c>
      <c r="C18" s="233" t="s">
        <v>222</v>
      </c>
      <c r="D18" s="250">
        <f>H34*80%</f>
        <v>112.32000000000001</v>
      </c>
      <c r="E18" s="242"/>
      <c r="F18" s="233"/>
      <c r="G18" s="233"/>
      <c r="H18" s="253"/>
      <c r="I18" s="242"/>
    </row>
    <row r="19" spans="2:9" x14ac:dyDescent="0.2">
      <c r="B19" s="244" t="s">
        <v>223</v>
      </c>
      <c r="C19" s="244" t="s">
        <v>223</v>
      </c>
      <c r="D19" s="256">
        <f>D17/D18</f>
        <v>18.233618233618234</v>
      </c>
      <c r="E19" s="252">
        <f>D19/$D$26</f>
        <v>0.11259436595385634</v>
      </c>
      <c r="F19" s="233" t="s">
        <v>224</v>
      </c>
      <c r="G19" s="255" t="s">
        <v>225</v>
      </c>
      <c r="H19" s="250">
        <v>10</v>
      </c>
      <c r="I19" s="252"/>
    </row>
    <row r="20" spans="2:9" x14ac:dyDescent="0.2">
      <c r="B20" s="244"/>
      <c r="C20" s="244"/>
      <c r="D20" s="256"/>
      <c r="E20" s="252"/>
      <c r="F20" s="233" t="s">
        <v>226</v>
      </c>
      <c r="G20" s="239" t="s">
        <v>227</v>
      </c>
      <c r="H20" s="250">
        <f>(15000*12*H19)</f>
        <v>1800000</v>
      </c>
      <c r="I20" s="252">
        <f>H20/$H$24</f>
        <v>9.6153846153846159E-2</v>
      </c>
    </row>
    <row r="21" spans="2:9" x14ac:dyDescent="0.2">
      <c r="B21" s="239" t="s">
        <v>279</v>
      </c>
      <c r="C21" s="233" t="s">
        <v>230</v>
      </c>
      <c r="D21" s="277">
        <f>(7.9+0.2)</f>
        <v>8.1</v>
      </c>
      <c r="E21" s="242"/>
      <c r="F21" s="233" t="s">
        <v>228</v>
      </c>
      <c r="G21" s="233" t="s">
        <v>229</v>
      </c>
      <c r="H21" s="257">
        <f>8%*H11</f>
        <v>7200000</v>
      </c>
      <c r="I21" s="252">
        <f>H21/$H$24</f>
        <v>0.38461538461538464</v>
      </c>
    </row>
    <row r="22" spans="2:9" x14ac:dyDescent="0.2">
      <c r="B22" s="239" t="s">
        <v>231</v>
      </c>
      <c r="C22" s="233" t="s">
        <v>232</v>
      </c>
      <c r="D22" s="277">
        <f>1/0.78</f>
        <v>1.2820512820512819</v>
      </c>
      <c r="E22" s="242"/>
      <c r="F22" s="244" t="s">
        <v>186</v>
      </c>
      <c r="G22" s="244" t="s">
        <v>186</v>
      </c>
      <c r="H22" s="256">
        <f>SUM(H20:H21)</f>
        <v>9000000</v>
      </c>
      <c r="I22" s="252">
        <f>H22/$H$24</f>
        <v>0.48076923076923078</v>
      </c>
    </row>
    <row r="23" spans="2:9" x14ac:dyDescent="0.2">
      <c r="B23" s="244" t="s">
        <v>233</v>
      </c>
      <c r="C23" s="244" t="s">
        <v>233</v>
      </c>
      <c r="D23" s="278">
        <f>D21*D22</f>
        <v>10.384615384615383</v>
      </c>
      <c r="E23" s="252">
        <f>D23/$D$26</f>
        <v>6.4126009984657242E-2</v>
      </c>
      <c r="F23" s="233"/>
      <c r="G23" s="233"/>
      <c r="H23" s="253"/>
      <c r="I23" s="242"/>
    </row>
    <row r="24" spans="2:9" x14ac:dyDescent="0.2">
      <c r="B24" s="244"/>
      <c r="C24" s="244"/>
      <c r="D24" s="258"/>
      <c r="E24" s="252"/>
      <c r="F24" s="244" t="s">
        <v>182</v>
      </c>
      <c r="G24" s="244" t="s">
        <v>234</v>
      </c>
      <c r="H24" s="256">
        <f>H13+H17+H22</f>
        <v>18720000</v>
      </c>
      <c r="I24" s="252">
        <f>H24/$H$24</f>
        <v>1</v>
      </c>
    </row>
    <row r="25" spans="2:9" x14ac:dyDescent="0.2">
      <c r="B25" s="233" t="s">
        <v>272</v>
      </c>
      <c r="C25" s="233"/>
      <c r="D25" s="251">
        <v>0.08</v>
      </c>
      <c r="E25" s="242"/>
      <c r="F25" s="233" t="s">
        <v>235</v>
      </c>
      <c r="G25" s="239" t="s">
        <v>236</v>
      </c>
      <c r="H25" s="259">
        <v>1</v>
      </c>
      <c r="I25" s="242"/>
    </row>
    <row r="26" spans="2:9" x14ac:dyDescent="0.2">
      <c r="B26" s="260" t="s">
        <v>179</v>
      </c>
      <c r="C26" s="261" t="s">
        <v>237</v>
      </c>
      <c r="D26" s="279">
        <f>(D15+D19+D23)*(1+D25)</f>
        <v>161.94076923076926</v>
      </c>
      <c r="E26" s="262">
        <f>D26/$D$26</f>
        <v>1</v>
      </c>
      <c r="F26" s="260" t="s">
        <v>238</v>
      </c>
      <c r="G26" s="260" t="s">
        <v>239</v>
      </c>
      <c r="H26" s="263">
        <f>H24*H25</f>
        <v>18720000</v>
      </c>
      <c r="I26" s="262"/>
    </row>
    <row r="27" spans="2:9" x14ac:dyDescent="0.2">
      <c r="B27" s="230"/>
      <c r="C27" s="230"/>
      <c r="D27" s="264"/>
      <c r="E27" s="231"/>
      <c r="F27" s="230"/>
      <c r="G27" s="230"/>
      <c r="H27" s="231"/>
      <c r="I27" s="295" t="s">
        <v>281</v>
      </c>
    </row>
    <row r="28" spans="2:9" x14ac:dyDescent="0.2">
      <c r="B28" s="244" t="s">
        <v>180</v>
      </c>
      <c r="C28" s="244" t="s">
        <v>240</v>
      </c>
      <c r="D28" s="280">
        <f>D9-D26</f>
        <v>49.397448107448071</v>
      </c>
      <c r="E28" s="253"/>
      <c r="F28" s="233" t="s">
        <v>241</v>
      </c>
      <c r="G28" s="233" t="s">
        <v>242</v>
      </c>
      <c r="H28" s="250">
        <f>3000*330</f>
        <v>990000</v>
      </c>
      <c r="I28" s="293">
        <f>H28/0.78</f>
        <v>1269230.7692307692</v>
      </c>
    </row>
    <row r="29" spans="2:9" x14ac:dyDescent="0.2">
      <c r="B29" s="239" t="s">
        <v>181</v>
      </c>
      <c r="C29" s="233" t="s">
        <v>243</v>
      </c>
      <c r="D29" s="59">
        <f>D28/D9</f>
        <v>0.23373646626532457</v>
      </c>
      <c r="E29" s="253"/>
      <c r="F29" s="244" t="s">
        <v>183</v>
      </c>
      <c r="G29" s="266" t="s">
        <v>244</v>
      </c>
      <c r="H29" s="256">
        <f>D28*H28</f>
        <v>48903473.626373589</v>
      </c>
      <c r="I29" s="242"/>
    </row>
    <row r="30" spans="2:9" x14ac:dyDescent="0.2">
      <c r="B30" s="233"/>
      <c r="C30" s="233"/>
      <c r="D30" s="281"/>
      <c r="E30" s="253"/>
      <c r="F30" s="244"/>
      <c r="G30" s="244"/>
      <c r="H30" s="256"/>
      <c r="I30" s="242"/>
    </row>
    <row r="31" spans="2:9" x14ac:dyDescent="0.2">
      <c r="B31" s="233" t="s">
        <v>245</v>
      </c>
      <c r="C31" s="233"/>
      <c r="D31" s="282">
        <f>D26</f>
        <v>161.94076923076926</v>
      </c>
      <c r="E31" s="267">
        <f>D31/D34</f>
        <v>0.89544315436867039</v>
      </c>
      <c r="F31" s="244" t="s">
        <v>246</v>
      </c>
      <c r="G31" s="244" t="s">
        <v>247</v>
      </c>
      <c r="H31" s="245">
        <f>H26/D28</f>
        <v>378966.94499846903</v>
      </c>
      <c r="I31" s="242"/>
    </row>
    <row r="32" spans="2:9" x14ac:dyDescent="0.2">
      <c r="B32" s="239" t="s">
        <v>248</v>
      </c>
      <c r="C32" s="239" t="s">
        <v>249</v>
      </c>
      <c r="D32" s="283">
        <f>H26/H28</f>
        <v>18.90909090909091</v>
      </c>
      <c r="E32" s="252">
        <f>D32/$D$34</f>
        <v>0.10455684563132961</v>
      </c>
      <c r="F32" s="233" t="s">
        <v>250</v>
      </c>
      <c r="G32" s="233" t="s">
        <v>251</v>
      </c>
      <c r="H32" s="243">
        <f>H31*D12</f>
        <v>247786.07942207594</v>
      </c>
      <c r="I32" s="242"/>
    </row>
    <row r="33" spans="2:9" x14ac:dyDescent="0.2">
      <c r="B33" s="233"/>
      <c r="C33" s="233"/>
      <c r="D33" s="282"/>
      <c r="E33" s="242"/>
      <c r="F33" s="233"/>
      <c r="G33" s="233"/>
      <c r="H33" s="253"/>
      <c r="I33" s="252"/>
    </row>
    <row r="34" spans="2:9" x14ac:dyDescent="0.2">
      <c r="B34" s="244" t="s">
        <v>252</v>
      </c>
      <c r="C34" s="244" t="s">
        <v>253</v>
      </c>
      <c r="D34" s="280">
        <f>D26+D32</f>
        <v>180.84986013986017</v>
      </c>
      <c r="E34" s="252">
        <f>D34/$D$34</f>
        <v>1</v>
      </c>
      <c r="F34" s="233" t="s">
        <v>254</v>
      </c>
      <c r="G34" s="233" t="s">
        <v>255</v>
      </c>
      <c r="H34" s="268">
        <f>180*0.78</f>
        <v>140.4</v>
      </c>
      <c r="I34" s="293">
        <f>H34/0.78</f>
        <v>180</v>
      </c>
    </row>
    <row r="35" spans="2:9" x14ac:dyDescent="0.2">
      <c r="B35" s="233"/>
      <c r="C35" s="233"/>
      <c r="D35" s="282"/>
      <c r="E35" s="242"/>
      <c r="F35" s="233" t="s">
        <v>256</v>
      </c>
      <c r="G35" s="233" t="s">
        <v>257</v>
      </c>
      <c r="H35" s="250">
        <v>23</v>
      </c>
      <c r="I35" s="252"/>
    </row>
    <row r="36" spans="2:9" x14ac:dyDescent="0.2">
      <c r="B36" s="244" t="s">
        <v>258</v>
      </c>
      <c r="C36" s="244" t="s">
        <v>259</v>
      </c>
      <c r="D36" s="280">
        <f>D9-D34</f>
        <v>30.488357198357164</v>
      </c>
      <c r="E36" s="252">
        <f>D36/D34</f>
        <v>0.16858380302190448</v>
      </c>
      <c r="F36" s="233" t="s">
        <v>260</v>
      </c>
      <c r="G36" s="233" t="s">
        <v>261</v>
      </c>
      <c r="H36" s="250">
        <f>360</f>
        <v>360</v>
      </c>
      <c r="I36" s="242"/>
    </row>
    <row r="37" spans="2:9" x14ac:dyDescent="0.2">
      <c r="B37" s="233"/>
      <c r="C37" s="233" t="s">
        <v>262</v>
      </c>
      <c r="D37" s="253"/>
      <c r="E37" s="242"/>
      <c r="F37" s="244" t="s">
        <v>263</v>
      </c>
      <c r="G37" s="244" t="s">
        <v>264</v>
      </c>
      <c r="H37" s="256">
        <f>ROUND(H34*H35*H36/1000,0)*1000</f>
        <v>1163000</v>
      </c>
      <c r="I37" s="293">
        <f>H37/0.78</f>
        <v>1491025.641025641</v>
      </c>
    </row>
    <row r="38" spans="2:9" x14ac:dyDescent="0.2">
      <c r="B38" s="246"/>
      <c r="C38" s="246"/>
      <c r="D38" s="269"/>
      <c r="E38" s="248"/>
      <c r="F38" s="246" t="s">
        <v>265</v>
      </c>
      <c r="G38" s="246" t="s">
        <v>266</v>
      </c>
      <c r="H38" s="270">
        <f>H28/H37</f>
        <v>0.85124677558039552</v>
      </c>
      <c r="I38" s="248"/>
    </row>
    <row r="39" spans="2:9" hidden="1" x14ac:dyDescent="0.2">
      <c r="B39" s="230"/>
      <c r="C39" s="230"/>
      <c r="D39" s="231"/>
      <c r="E39" s="231"/>
      <c r="F39" s="271" t="s">
        <v>267</v>
      </c>
      <c r="G39" s="231"/>
      <c r="H39" s="272">
        <f>H8/H11</f>
        <v>0.33533333333333332</v>
      </c>
      <c r="I39" s="232"/>
    </row>
    <row r="40" spans="2:9" hidden="1" x14ac:dyDescent="0.2">
      <c r="B40" s="233"/>
      <c r="C40" s="253"/>
      <c r="D40" s="253"/>
      <c r="E40" s="253"/>
      <c r="F40" s="273" t="s">
        <v>177</v>
      </c>
      <c r="G40" s="253"/>
      <c r="H40" s="265">
        <f>H8/(H11-H15)</f>
        <v>0.54086021505376347</v>
      </c>
      <c r="I40" s="242"/>
    </row>
    <row r="41" spans="2:9" hidden="1" x14ac:dyDescent="0.2">
      <c r="B41" s="274" t="s">
        <v>268</v>
      </c>
      <c r="C41" s="274" t="s">
        <v>269</v>
      </c>
      <c r="D41" s="269"/>
      <c r="E41" s="269"/>
      <c r="F41" s="269"/>
      <c r="G41" s="269"/>
      <c r="H41" s="269"/>
      <c r="I41" s="248"/>
    </row>
  </sheetData>
  <conditionalFormatting sqref="H38">
    <cfRule type="cellIs" dxfId="26" priority="7" stopIfTrue="1" operator="lessThanOrEqual">
      <formula>0.55</formula>
    </cfRule>
    <cfRule type="cellIs" dxfId="25" priority="8" stopIfTrue="1" operator="between">
      <formula>0.55</formula>
      <formula>0.7499999999</formula>
    </cfRule>
    <cfRule type="cellIs" dxfId="24" priority="9" stopIfTrue="1" operator="greaterThanOrEqual">
      <formula>0.75</formula>
    </cfRule>
  </conditionalFormatting>
  <conditionalFormatting sqref="H9">
    <cfRule type="cellIs" dxfId="23" priority="4" stopIfTrue="1" operator="lessThan">
      <formula>0</formula>
    </cfRule>
    <cfRule type="cellIs" dxfId="22" priority="5" stopIfTrue="1" operator="between">
      <formula>0</formula>
      <formula>0.15</formula>
    </cfRule>
    <cfRule type="cellIs" dxfId="21" priority="6" stopIfTrue="1" operator="greaterThanOrEqual">
      <formula>0.15</formula>
    </cfRule>
  </conditionalFormatting>
  <conditionalFormatting sqref="D29">
    <cfRule type="cellIs" dxfId="20" priority="1" stopIfTrue="1" operator="lessThan">
      <formula>0.15</formula>
    </cfRule>
    <cfRule type="cellIs" dxfId="19" priority="2" stopIfTrue="1" operator="between">
      <formula>0.15</formula>
      <formula>0.3</formula>
    </cfRule>
    <cfRule type="cellIs" dxfId="18" priority="3" stopIfTrue="1" operator="greaterThanOrEqual">
      <formula>0.3</formula>
    </cfRule>
  </conditionalFormatting>
  <pageMargins left="0.75" right="0.75" top="1" bottom="1" header="0.5" footer="0.5"/>
  <pageSetup paperSize="9" orientation="portrait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L108"/>
  <sheetViews>
    <sheetView tabSelected="1" zoomScale="110" zoomScaleNormal="110" zoomScaleSheetLayoutView="100" workbookViewId="0">
      <selection activeCell="M1" sqref="M1"/>
    </sheetView>
  </sheetViews>
  <sheetFormatPr defaultRowHeight="12.75" x14ac:dyDescent="0.2"/>
  <cols>
    <col min="1" max="1" width="2.28515625" style="1" customWidth="1"/>
    <col min="2" max="2" width="2.7109375" style="1" customWidth="1"/>
    <col min="3" max="3" width="28.85546875" style="1" bestFit="1" customWidth="1"/>
    <col min="4" max="4" width="10.85546875" style="2" customWidth="1"/>
    <col min="5" max="5" width="5.7109375" style="2" customWidth="1"/>
    <col min="6" max="6" width="6.85546875" style="1" bestFit="1" customWidth="1"/>
    <col min="7" max="7" width="7.28515625" style="3" customWidth="1"/>
    <col min="8" max="8" width="3" style="1" customWidth="1"/>
    <col min="9" max="9" width="22.28515625" style="1" customWidth="1"/>
    <col min="10" max="10" width="7.7109375" style="1" bestFit="1" customWidth="1"/>
    <col min="11" max="11" width="9.42578125" style="2" customWidth="1"/>
    <col min="12" max="12" width="6.85546875" style="1" bestFit="1" customWidth="1"/>
    <col min="13" max="13" width="3.42578125" style="1" customWidth="1"/>
    <col min="14" max="14" width="2.140625" style="1" customWidth="1"/>
    <col min="15" max="15" width="36.7109375" style="1" customWidth="1"/>
    <col min="16" max="16" width="8.42578125" style="1" customWidth="1"/>
    <col min="17" max="22" width="9.85546875" style="4" customWidth="1"/>
    <col min="23" max="23" width="3" style="1" customWidth="1"/>
    <col min="24" max="24" width="2.5703125" style="1" customWidth="1"/>
    <col min="25" max="25" width="34" style="1" customWidth="1"/>
    <col min="26" max="26" width="10.28515625" style="1" customWidth="1"/>
    <col min="27" max="32" width="9.140625" style="1"/>
    <col min="33" max="33" width="3.28515625" style="1" customWidth="1"/>
    <col min="34" max="16384" width="9.140625" style="1"/>
  </cols>
  <sheetData>
    <row r="1" spans="2:32" ht="13.5" thickBot="1" x14ac:dyDescent="0.25"/>
    <row r="2" spans="2:32" ht="18.75" thickBot="1" x14ac:dyDescent="0.3">
      <c r="B2" s="5" t="s">
        <v>0</v>
      </c>
      <c r="C2" s="6"/>
      <c r="D2" s="7"/>
      <c r="E2" s="7"/>
      <c r="F2" s="8">
        <v>1</v>
      </c>
      <c r="G2" s="9" t="s">
        <v>303</v>
      </c>
      <c r="H2" s="6"/>
      <c r="I2" s="6"/>
      <c r="J2" s="6"/>
      <c r="K2" s="10"/>
      <c r="L2" s="11" t="s">
        <v>273</v>
      </c>
      <c r="N2" s="12" t="s">
        <v>1</v>
      </c>
      <c r="O2" s="13"/>
      <c r="P2" s="14"/>
      <c r="Q2" s="15">
        <f>+$F$2</f>
        <v>1</v>
      </c>
      <c r="R2" s="16" t="str">
        <f>+$G$2</f>
        <v>Almonds &amp; Vanilla Cakes, Lekki</v>
      </c>
      <c r="S2" s="17"/>
      <c r="T2" s="17"/>
      <c r="U2" s="17"/>
      <c r="V2" s="18" t="str">
        <f>$L$2</f>
        <v>1000 NGN</v>
      </c>
      <c r="X2" s="19" t="s">
        <v>2</v>
      </c>
      <c r="Y2" s="20"/>
      <c r="Z2" s="20"/>
      <c r="AA2" s="21">
        <f>AA21</f>
        <v>1</v>
      </c>
      <c r="AB2" s="22" t="str">
        <f>AB21</f>
        <v>Almonds &amp; Vanilla Cakes, Lekki</v>
      </c>
      <c r="AC2" s="23"/>
      <c r="AD2" s="23"/>
      <c r="AE2" s="23"/>
      <c r="AF2" s="11" t="str">
        <f>AF21</f>
        <v>1000 NGN</v>
      </c>
    </row>
    <row r="3" spans="2:32" ht="15.75" x14ac:dyDescent="0.25">
      <c r="B3" s="24"/>
      <c r="C3" s="25"/>
      <c r="D3" s="26" t="s">
        <v>3</v>
      </c>
      <c r="E3" s="26"/>
      <c r="F3" s="25"/>
      <c r="G3" s="27"/>
      <c r="H3" s="25"/>
      <c r="I3" s="25"/>
      <c r="J3" s="25"/>
      <c r="K3" s="26" t="s">
        <v>4</v>
      </c>
      <c r="L3" s="28"/>
      <c r="N3" s="29" t="s">
        <v>271</v>
      </c>
      <c r="O3" s="30"/>
      <c r="P3" s="31"/>
      <c r="Q3" s="32">
        <v>2015</v>
      </c>
      <c r="R3" s="33">
        <f>Q3+1</f>
        <v>2016</v>
      </c>
      <c r="S3" s="33">
        <f>R3+1</f>
        <v>2017</v>
      </c>
      <c r="T3" s="33">
        <f>S3+1</f>
        <v>2018</v>
      </c>
      <c r="U3" s="33">
        <f>T3+1</f>
        <v>2019</v>
      </c>
      <c r="V3" s="34">
        <f>U3+1</f>
        <v>2020</v>
      </c>
      <c r="X3" s="35"/>
      <c r="Y3" s="30"/>
      <c r="Z3" s="36" t="s">
        <v>5</v>
      </c>
      <c r="AA3" s="33">
        <f t="shared" ref="AA3:AF3" si="0">Q3</f>
        <v>2015</v>
      </c>
      <c r="AB3" s="33">
        <f t="shared" si="0"/>
        <v>2016</v>
      </c>
      <c r="AC3" s="33">
        <f t="shared" si="0"/>
        <v>2017</v>
      </c>
      <c r="AD3" s="33">
        <f t="shared" si="0"/>
        <v>2018</v>
      </c>
      <c r="AE3" s="33">
        <f t="shared" si="0"/>
        <v>2019</v>
      </c>
      <c r="AF3" s="34">
        <f t="shared" si="0"/>
        <v>2020</v>
      </c>
    </row>
    <row r="4" spans="2:32" x14ac:dyDescent="0.2">
      <c r="B4" s="37" t="s">
        <v>6</v>
      </c>
      <c r="C4" s="38" t="s">
        <v>313</v>
      </c>
      <c r="D4" s="39">
        <v>0</v>
      </c>
      <c r="E4" s="56">
        <f>D4/225</f>
        <v>0</v>
      </c>
      <c r="F4" s="40">
        <f t="shared" ref="F4:F9" si="1">+D4/D$16</f>
        <v>0</v>
      </c>
      <c r="G4" s="27"/>
      <c r="H4" s="41" t="s">
        <v>7</v>
      </c>
      <c r="I4" s="25" t="s">
        <v>8</v>
      </c>
      <c r="J4" s="25"/>
      <c r="K4" s="42"/>
      <c r="L4" s="28"/>
      <c r="N4" s="24"/>
      <c r="O4" s="43" t="s">
        <v>296</v>
      </c>
      <c r="P4" s="40"/>
      <c r="Q4" s="44">
        <v>0.6</v>
      </c>
      <c r="R4" s="44">
        <v>0.6</v>
      </c>
      <c r="S4" s="44">
        <v>0.6</v>
      </c>
      <c r="T4" s="40">
        <f>S4</f>
        <v>0.6</v>
      </c>
      <c r="U4" s="40">
        <f>T4</f>
        <v>0.6</v>
      </c>
      <c r="V4" s="46">
        <f>U4</f>
        <v>0.6</v>
      </c>
      <c r="X4" s="24"/>
      <c r="Y4" s="47" t="s">
        <v>9</v>
      </c>
      <c r="Z4" s="48">
        <f>AVERAGE(AA4:AF4)/6</f>
        <v>14453.587555555563</v>
      </c>
      <c r="AA4" s="48">
        <f>Q56+Q57</f>
        <v>12690.976000000006</v>
      </c>
      <c r="AB4" s="48">
        <f>AA4+R56+R57</f>
        <v>31141.952000000023</v>
      </c>
      <c r="AC4" s="48">
        <f>AB4+S56+S57</f>
        <v>56841.352000000043</v>
      </c>
      <c r="AD4" s="48">
        <f>AC4+T56+T57</f>
        <v>91171.576000000059</v>
      </c>
      <c r="AE4" s="48">
        <f>AD4+U56+U57</f>
        <v>135791.50400000007</v>
      </c>
      <c r="AF4" s="49">
        <f>AE4+V56+V57</f>
        <v>192691.79200000007</v>
      </c>
    </row>
    <row r="5" spans="2:32" x14ac:dyDescent="0.2">
      <c r="B5" s="24"/>
      <c r="C5" s="38" t="s">
        <v>314</v>
      </c>
      <c r="D5" s="39">
        <f>4500*4</f>
        <v>18000</v>
      </c>
      <c r="E5" s="56">
        <f t="shared" ref="E5:E16" si="2">D5/225</f>
        <v>80</v>
      </c>
      <c r="F5" s="40">
        <f t="shared" si="1"/>
        <v>0.32347169989482388</v>
      </c>
      <c r="G5" s="27"/>
      <c r="H5" s="25"/>
      <c r="I5" s="50" t="s">
        <v>10</v>
      </c>
      <c r="J5" s="51">
        <f>K5/K7</f>
        <v>0.99999395960256166</v>
      </c>
      <c r="K5" s="52">
        <f>18000+30000</f>
        <v>48000</v>
      </c>
      <c r="L5" s="46">
        <f>K5/K16</f>
        <v>0.86259119971953035</v>
      </c>
      <c r="N5" s="24"/>
      <c r="O5" s="38" t="s">
        <v>11</v>
      </c>
      <c r="P5" s="53"/>
      <c r="Q5" s="54">
        <f t="shared" ref="Q5:V5" si="3">Q12*$P12*(1-Q4)*Q14</f>
        <v>24000.000000000011</v>
      </c>
      <c r="R5" s="54">
        <f t="shared" si="3"/>
        <v>28800.000000000015</v>
      </c>
      <c r="S5" s="54">
        <f t="shared" si="3"/>
        <v>34560.000000000022</v>
      </c>
      <c r="T5" s="54">
        <f t="shared" si="3"/>
        <v>41472.000000000022</v>
      </c>
      <c r="U5" s="54">
        <f t="shared" si="3"/>
        <v>49766.400000000023</v>
      </c>
      <c r="V5" s="55">
        <f t="shared" si="3"/>
        <v>59719.680000000029</v>
      </c>
      <c r="X5" s="24"/>
      <c r="Y5" s="47" t="s">
        <v>12</v>
      </c>
      <c r="Z5" s="48">
        <f>AVERAGE(AA5:AF5)</f>
        <v>48000.289940828399</v>
      </c>
      <c r="AA5" s="48">
        <f>Q89</f>
        <v>48000.289940828399</v>
      </c>
      <c r="AB5" s="48">
        <f>AA5</f>
        <v>48000.289940828399</v>
      </c>
      <c r="AC5" s="48">
        <f>AB5</f>
        <v>48000.289940828399</v>
      </c>
      <c r="AD5" s="48">
        <f>AC5</f>
        <v>48000.289940828399</v>
      </c>
      <c r="AE5" s="48">
        <f>AD5</f>
        <v>48000.289940828399</v>
      </c>
      <c r="AF5" s="49">
        <f>AE5</f>
        <v>48000.289940828399</v>
      </c>
    </row>
    <row r="6" spans="2:32" x14ac:dyDescent="0.2">
      <c r="B6" s="24"/>
      <c r="C6" s="38" t="s">
        <v>282</v>
      </c>
      <c r="D6" s="39">
        <v>26000</v>
      </c>
      <c r="E6" s="56">
        <f t="shared" si="2"/>
        <v>115.55555555555556</v>
      </c>
      <c r="F6" s="40">
        <f t="shared" si="1"/>
        <v>0.46723689984807892</v>
      </c>
      <c r="G6" s="27"/>
      <c r="H6" s="25"/>
      <c r="I6" s="50" t="s">
        <v>13</v>
      </c>
      <c r="J6" s="51">
        <f>K6/K7</f>
        <v>6.0403974383631231E-6</v>
      </c>
      <c r="K6" s="56">
        <f>K7-K5</f>
        <v>0.28994082839926705</v>
      </c>
      <c r="L6" s="46">
        <f>K6/K16</f>
        <v>5.2104251461791293E-6</v>
      </c>
      <c r="N6" s="24"/>
      <c r="O6" s="43" t="s">
        <v>297</v>
      </c>
      <c r="P6" s="57"/>
      <c r="Q6" s="45">
        <v>0.5</v>
      </c>
      <c r="R6" s="45">
        <f>Q6</f>
        <v>0.5</v>
      </c>
      <c r="S6" s="45">
        <f>R6</f>
        <v>0.5</v>
      </c>
      <c r="T6" s="40">
        <f>S6</f>
        <v>0.5</v>
      </c>
      <c r="U6" s="40">
        <f>T6</f>
        <v>0.5</v>
      </c>
      <c r="V6" s="46">
        <f>U6</f>
        <v>0.5</v>
      </c>
      <c r="X6" s="24"/>
      <c r="Y6" s="58" t="s">
        <v>14</v>
      </c>
      <c r="Z6" s="59">
        <f>Z4/Z5</f>
        <v>0.30111458854463163</v>
      </c>
      <c r="AA6" s="59">
        <f>AA4/AA5</f>
        <v>0.26439373628043927</v>
      </c>
      <c r="AB6" s="59">
        <f>AB4/AB5/2</f>
        <v>0.32439337385659311</v>
      </c>
      <c r="AC6" s="59">
        <f>AC4/AC5/3</f>
        <v>0.39472922677529881</v>
      </c>
      <c r="AD6" s="59">
        <f>AD4/AD5/4</f>
        <v>0.4748490900387809</v>
      </c>
      <c r="AE6" s="59">
        <f>AE4/AE5/5</f>
        <v>0.56579451568894645</v>
      </c>
      <c r="AF6" s="60">
        <f>AF4/AF5/6</f>
        <v>0.66906468078122661</v>
      </c>
    </row>
    <row r="7" spans="2:32" x14ac:dyDescent="0.2">
      <c r="B7" s="24"/>
      <c r="C7" s="38" t="s">
        <v>315</v>
      </c>
      <c r="D7" s="39">
        <v>4000</v>
      </c>
      <c r="E7" s="56">
        <f t="shared" si="2"/>
        <v>17.777777777777779</v>
      </c>
      <c r="F7" s="40">
        <f t="shared" si="1"/>
        <v>7.188259997662752E-2</v>
      </c>
      <c r="G7" s="27"/>
      <c r="H7" s="25"/>
      <c r="I7" s="50" t="s">
        <v>15</v>
      </c>
      <c r="J7" s="51">
        <v>1</v>
      </c>
      <c r="K7" s="42">
        <f>K9-K8</f>
        <v>48000.289940828399</v>
      </c>
      <c r="L7" s="61">
        <f>1-L14</f>
        <v>0.86259641014467647</v>
      </c>
      <c r="N7" s="24"/>
      <c r="O7" s="38" t="s">
        <v>16</v>
      </c>
      <c r="P7" s="62"/>
      <c r="Q7" s="54">
        <f t="shared" ref="Q7:V7" si="4">Q13*$P13*(1-Q6)*Q14</f>
        <v>0</v>
      </c>
      <c r="R7" s="54">
        <f t="shared" si="4"/>
        <v>0</v>
      </c>
      <c r="S7" s="54">
        <f t="shared" si="4"/>
        <v>0</v>
      </c>
      <c r="T7" s="54">
        <f t="shared" si="4"/>
        <v>0</v>
      </c>
      <c r="U7" s="54">
        <f t="shared" si="4"/>
        <v>0</v>
      </c>
      <c r="V7" s="55">
        <f t="shared" si="4"/>
        <v>0</v>
      </c>
      <c r="X7" s="24"/>
      <c r="Y7" s="38"/>
      <c r="Z7" s="38"/>
      <c r="AA7" s="38"/>
      <c r="AB7" s="25"/>
      <c r="AC7" s="25"/>
      <c r="AD7" s="25"/>
      <c r="AE7" s="25"/>
      <c r="AF7" s="28"/>
    </row>
    <row r="8" spans="2:32" x14ac:dyDescent="0.2">
      <c r="B8" s="24"/>
      <c r="C8" s="38" t="s">
        <v>283</v>
      </c>
      <c r="D8" s="39">
        <v>1000</v>
      </c>
      <c r="E8" s="56">
        <f t="shared" si="2"/>
        <v>4.4444444444444446</v>
      </c>
      <c r="F8" s="40">
        <f t="shared" si="1"/>
        <v>1.797064999415688E-2</v>
      </c>
      <c r="G8" s="27"/>
      <c r="H8" s="25"/>
      <c r="I8" s="50" t="s">
        <v>17</v>
      </c>
      <c r="J8" s="25"/>
      <c r="K8" s="39">
        <v>0</v>
      </c>
      <c r="L8" s="63"/>
      <c r="N8" s="24"/>
      <c r="O8" s="41" t="s">
        <v>18</v>
      </c>
      <c r="P8" s="64"/>
      <c r="Q8" s="65">
        <f t="shared" ref="Q8:V8" si="5">Q5+Q7</f>
        <v>24000.000000000011</v>
      </c>
      <c r="R8" s="65">
        <f t="shared" si="5"/>
        <v>28800.000000000015</v>
      </c>
      <c r="S8" s="65">
        <f t="shared" si="5"/>
        <v>34560.000000000022</v>
      </c>
      <c r="T8" s="65">
        <f t="shared" si="5"/>
        <v>41472.000000000022</v>
      </c>
      <c r="U8" s="65">
        <f t="shared" si="5"/>
        <v>49766.400000000023</v>
      </c>
      <c r="V8" s="66">
        <f t="shared" si="5"/>
        <v>59719.680000000029</v>
      </c>
      <c r="X8" s="24"/>
      <c r="Y8" s="47" t="s">
        <v>19</v>
      </c>
      <c r="Z8" s="48">
        <f>AVERAGE(AA8:AF8)/6</f>
        <v>14453.587555555563</v>
      </c>
      <c r="AA8" s="48">
        <f t="shared" ref="AA8:AF8" si="6">AA4</f>
        <v>12690.976000000006</v>
      </c>
      <c r="AB8" s="48">
        <f t="shared" si="6"/>
        <v>31141.952000000023</v>
      </c>
      <c r="AC8" s="48">
        <f t="shared" si="6"/>
        <v>56841.352000000043</v>
      </c>
      <c r="AD8" s="48">
        <f t="shared" si="6"/>
        <v>91171.576000000059</v>
      </c>
      <c r="AE8" s="48">
        <f t="shared" si="6"/>
        <v>135791.50400000007</v>
      </c>
      <c r="AF8" s="49">
        <f t="shared" si="6"/>
        <v>192691.79200000007</v>
      </c>
    </row>
    <row r="9" spans="2:32" x14ac:dyDescent="0.2">
      <c r="B9" s="24"/>
      <c r="C9" s="38" t="s">
        <v>274</v>
      </c>
      <c r="D9" s="39">
        <v>400</v>
      </c>
      <c r="E9" s="56">
        <f t="shared" si="2"/>
        <v>1.7777777777777777</v>
      </c>
      <c r="F9" s="40">
        <f t="shared" si="1"/>
        <v>7.1882599976627526E-3</v>
      </c>
      <c r="G9" s="27"/>
      <c r="H9" s="25"/>
      <c r="I9" s="50" t="s">
        <v>20</v>
      </c>
      <c r="J9" s="25"/>
      <c r="K9" s="42">
        <f>K16-K14</f>
        <v>48000.289940828399</v>
      </c>
      <c r="L9" s="63"/>
      <c r="N9" s="24"/>
      <c r="O9" s="38" t="s">
        <v>21</v>
      </c>
      <c r="P9" s="43"/>
      <c r="Q9" s="67">
        <v>15000</v>
      </c>
      <c r="R9" s="67">
        <v>15000</v>
      </c>
      <c r="S9" s="68">
        <v>15000</v>
      </c>
      <c r="T9" s="54">
        <f>S9</f>
        <v>15000</v>
      </c>
      <c r="U9" s="54">
        <f>T9</f>
        <v>15000</v>
      </c>
      <c r="V9" s="55">
        <f>U9</f>
        <v>15000</v>
      </c>
      <c r="X9" s="24"/>
      <c r="Y9" s="47" t="s">
        <v>22</v>
      </c>
      <c r="Z9" s="48">
        <f>AVERAGE(AA9:AF9)</f>
        <v>55646.289940828399</v>
      </c>
      <c r="AA9" s="48">
        <f t="shared" ref="AA9:AF9" si="7">$K$16</f>
        <v>55646.289940828399</v>
      </c>
      <c r="AB9" s="48">
        <f t="shared" si="7"/>
        <v>55646.289940828399</v>
      </c>
      <c r="AC9" s="48">
        <f t="shared" si="7"/>
        <v>55646.289940828399</v>
      </c>
      <c r="AD9" s="48">
        <f t="shared" si="7"/>
        <v>55646.289940828399</v>
      </c>
      <c r="AE9" s="48">
        <f t="shared" si="7"/>
        <v>55646.289940828399</v>
      </c>
      <c r="AF9" s="49">
        <f t="shared" si="7"/>
        <v>55646.289940828399</v>
      </c>
    </row>
    <row r="10" spans="2:32" x14ac:dyDescent="0.2">
      <c r="B10" s="24"/>
      <c r="C10" s="25"/>
      <c r="D10" s="42"/>
      <c r="E10" s="56"/>
      <c r="F10" s="43"/>
      <c r="G10" s="27"/>
      <c r="H10" s="25"/>
      <c r="I10" s="69"/>
      <c r="J10" s="70"/>
      <c r="K10" s="42"/>
      <c r="L10" s="46"/>
      <c r="N10" s="71"/>
      <c r="O10" s="72" t="s">
        <v>23</v>
      </c>
      <c r="P10" s="73"/>
      <c r="Q10" s="74">
        <f t="shared" ref="Q10:V10" si="8">SUM(Q8:Q9)</f>
        <v>39000.000000000015</v>
      </c>
      <c r="R10" s="74">
        <f t="shared" si="8"/>
        <v>43800.000000000015</v>
      </c>
      <c r="S10" s="74">
        <f t="shared" si="8"/>
        <v>49560.000000000022</v>
      </c>
      <c r="T10" s="74">
        <f t="shared" si="8"/>
        <v>56472.000000000022</v>
      </c>
      <c r="U10" s="74">
        <f t="shared" si="8"/>
        <v>64766.400000000023</v>
      </c>
      <c r="V10" s="75">
        <f t="shared" si="8"/>
        <v>74719.680000000022</v>
      </c>
      <c r="X10" s="24"/>
      <c r="Y10" s="58" t="s">
        <v>24</v>
      </c>
      <c r="Z10" s="59">
        <f>Z8/Z9</f>
        <v>0.25974036312079057</v>
      </c>
      <c r="AA10" s="59">
        <f>AA8/AA9</f>
        <v>0.22806508778024523</v>
      </c>
      <c r="AB10" s="59">
        <f>AB8/AB9/2</f>
        <v>0.27982055976341713</v>
      </c>
      <c r="AC10" s="59">
        <f>AC8/AC9/3</f>
        <v>0.34049201399555667</v>
      </c>
      <c r="AD10" s="59">
        <f>AD8/AD9/4</f>
        <v>0.40960312042791869</v>
      </c>
      <c r="AE10" s="59">
        <f>AE8/AE9/5</f>
        <v>0.48805231811283106</v>
      </c>
      <c r="AF10" s="60">
        <f>AF8/AF9/6</f>
        <v>0.57713279179648003</v>
      </c>
    </row>
    <row r="11" spans="2:32" x14ac:dyDescent="0.2">
      <c r="B11" s="37" t="s">
        <v>25</v>
      </c>
      <c r="C11" s="38" t="s">
        <v>26</v>
      </c>
      <c r="D11" s="76">
        <f>R31+R94-R80</f>
        <v>719.28994082840256</v>
      </c>
      <c r="E11" s="56">
        <f t="shared" si="2"/>
        <v>3.1968441814595669</v>
      </c>
      <c r="F11" s="40">
        <f>+D11/D$16</f>
        <v>1.2926107770945036E-2</v>
      </c>
      <c r="G11" s="27"/>
      <c r="H11" s="41" t="s">
        <v>27</v>
      </c>
      <c r="I11" s="25" t="s">
        <v>28</v>
      </c>
      <c r="J11" s="25"/>
      <c r="K11" s="42"/>
      <c r="L11" s="63"/>
      <c r="M11" s="79"/>
      <c r="N11" s="37" t="s">
        <v>35</v>
      </c>
      <c r="O11" s="25"/>
      <c r="P11" s="84" t="s">
        <v>36</v>
      </c>
      <c r="Q11" s="48"/>
      <c r="R11" s="48"/>
      <c r="S11" s="48"/>
      <c r="T11" s="48"/>
      <c r="U11" s="48"/>
      <c r="V11" s="49"/>
      <c r="X11" s="24"/>
      <c r="Y11" s="38"/>
      <c r="Z11" s="38"/>
      <c r="AA11" s="38"/>
      <c r="AB11" s="25"/>
      <c r="AC11" s="25"/>
      <c r="AD11" s="25"/>
      <c r="AE11" s="25"/>
      <c r="AF11" s="28"/>
    </row>
    <row r="12" spans="2:32" x14ac:dyDescent="0.2">
      <c r="B12" s="24"/>
      <c r="C12" s="38" t="s">
        <v>30</v>
      </c>
      <c r="D12" s="77">
        <v>5000</v>
      </c>
      <c r="E12" s="305">
        <f t="shared" si="2"/>
        <v>22.222222222222221</v>
      </c>
      <c r="F12" s="40">
        <f>+D12/D$16</f>
        <v>8.9853249970784407E-2</v>
      </c>
      <c r="G12" s="27"/>
      <c r="H12" s="25"/>
      <c r="I12" s="50" t="s">
        <v>31</v>
      </c>
      <c r="J12" s="78"/>
      <c r="K12" s="39">
        <v>0</v>
      </c>
      <c r="L12" s="46">
        <f>K12/K16</f>
        <v>0</v>
      </c>
      <c r="M12" s="79"/>
      <c r="N12" s="24"/>
      <c r="O12" s="38" t="s">
        <v>298</v>
      </c>
      <c r="P12" s="85">
        <v>800</v>
      </c>
      <c r="Q12" s="67">
        <v>250.00000000000011</v>
      </c>
      <c r="R12" s="54">
        <f>Q12</f>
        <v>250.00000000000011</v>
      </c>
      <c r="S12" s="54">
        <f>R12</f>
        <v>250.00000000000011</v>
      </c>
      <c r="T12" s="48">
        <f t="shared" ref="T12:V13" si="9">S12</f>
        <v>250.00000000000011</v>
      </c>
      <c r="U12" s="48">
        <f t="shared" si="9"/>
        <v>250.00000000000011</v>
      </c>
      <c r="V12" s="49">
        <f t="shared" si="9"/>
        <v>250.00000000000011</v>
      </c>
      <c r="X12" s="24"/>
      <c r="Y12" s="47" t="s">
        <v>33</v>
      </c>
      <c r="Z12" s="54">
        <f>SUM(AA12:AF12)</f>
        <v>240864.74000000011</v>
      </c>
      <c r="AA12" s="54">
        <f t="shared" ref="AA12:AF12" si="10">Q56</f>
        <v>15863.720000000007</v>
      </c>
      <c r="AB12" s="48">
        <f t="shared" si="10"/>
        <v>23063.720000000016</v>
      </c>
      <c r="AC12" s="48">
        <f t="shared" si="10"/>
        <v>32124.250000000025</v>
      </c>
      <c r="AD12" s="48">
        <f t="shared" si="10"/>
        <v>42912.780000000028</v>
      </c>
      <c r="AE12" s="48">
        <f t="shared" si="10"/>
        <v>55774.910000000018</v>
      </c>
      <c r="AF12" s="49">
        <f t="shared" si="10"/>
        <v>71125.360000000015</v>
      </c>
    </row>
    <row r="13" spans="2:32" x14ac:dyDescent="0.2">
      <c r="B13" s="24"/>
      <c r="C13" s="25"/>
      <c r="D13" s="42"/>
      <c r="E13" s="56"/>
      <c r="F13" s="43"/>
      <c r="G13" s="27"/>
      <c r="H13" s="25"/>
      <c r="I13" s="50" t="s">
        <v>34</v>
      </c>
      <c r="J13" s="70"/>
      <c r="K13" s="52">
        <v>7646</v>
      </c>
      <c r="L13" s="46">
        <f>K13/K16</f>
        <v>0.13740358985532353</v>
      </c>
      <c r="N13" s="24"/>
      <c r="O13" s="38" t="s">
        <v>299</v>
      </c>
      <c r="P13" s="85">
        <v>0</v>
      </c>
      <c r="Q13" s="67">
        <v>0</v>
      </c>
      <c r="R13" s="54">
        <f>Q13</f>
        <v>0</v>
      </c>
      <c r="S13" s="54">
        <f>R13</f>
        <v>0</v>
      </c>
      <c r="T13" s="54">
        <f t="shared" si="9"/>
        <v>0</v>
      </c>
      <c r="U13" s="54">
        <f t="shared" si="9"/>
        <v>0</v>
      </c>
      <c r="V13" s="55">
        <f t="shared" si="9"/>
        <v>0</v>
      </c>
      <c r="X13" s="24"/>
      <c r="Y13" s="47" t="s">
        <v>37</v>
      </c>
      <c r="Z13" s="54">
        <f>SUM(AA13:AF13)</f>
        <v>625283.49046153878</v>
      </c>
      <c r="AA13" s="54">
        <f t="shared" ref="AA13:AF13" si="11">Q46+Q47</f>
        <v>62878.846153846185</v>
      </c>
      <c r="AB13" s="48">
        <f t="shared" si="11"/>
        <v>75575.769230769263</v>
      </c>
      <c r="AC13" s="48">
        <f t="shared" si="11"/>
        <v>90690.923076923122</v>
      </c>
      <c r="AD13" s="48">
        <f t="shared" si="11"/>
        <v>108829.10769230773</v>
      </c>
      <c r="AE13" s="48">
        <f t="shared" si="11"/>
        <v>130594.92923076928</v>
      </c>
      <c r="AF13" s="49">
        <f t="shared" si="11"/>
        <v>156713.91507692315</v>
      </c>
    </row>
    <row r="14" spans="2:32" x14ac:dyDescent="0.2">
      <c r="B14" s="37" t="s">
        <v>38</v>
      </c>
      <c r="C14" s="25" t="s">
        <v>39</v>
      </c>
      <c r="D14" s="39">
        <f>500-53+80</f>
        <v>527</v>
      </c>
      <c r="E14" s="56">
        <f t="shared" si="2"/>
        <v>2.3422222222222224</v>
      </c>
      <c r="F14" s="40">
        <f>+D14/D$16</f>
        <v>9.4705325469206757E-3</v>
      </c>
      <c r="G14" s="27"/>
      <c r="H14" s="25"/>
      <c r="I14" s="69" t="s">
        <v>40</v>
      </c>
      <c r="J14" s="25"/>
      <c r="K14" s="42">
        <f>SUM(K12:K13)</f>
        <v>7646</v>
      </c>
      <c r="L14" s="61">
        <f>K14/K16</f>
        <v>0.13740358985532353</v>
      </c>
      <c r="N14" s="24"/>
      <c r="O14" s="38" t="s">
        <v>43</v>
      </c>
      <c r="P14" s="85"/>
      <c r="Q14" s="310">
        <v>0.3</v>
      </c>
      <c r="R14" s="310">
        <f>+Q14*(1.2)</f>
        <v>0.36</v>
      </c>
      <c r="S14" s="93">
        <f t="shared" ref="S14:V14" si="12">+R14*(1.2)</f>
        <v>0.432</v>
      </c>
      <c r="T14" s="59">
        <f t="shared" si="12"/>
        <v>0.51839999999999997</v>
      </c>
      <c r="U14" s="59">
        <f t="shared" si="12"/>
        <v>0.62207999999999997</v>
      </c>
      <c r="V14" s="60">
        <f t="shared" si="12"/>
        <v>0.74649599999999994</v>
      </c>
      <c r="X14" s="24"/>
      <c r="Y14" s="58" t="s">
        <v>41</v>
      </c>
      <c r="Z14" s="59">
        <f t="shared" ref="Z14:AF14" si="13">Z12/Z13</f>
        <v>0.38520885914037373</v>
      </c>
      <c r="AA14" s="59">
        <f t="shared" si="13"/>
        <v>0.25229025292840318</v>
      </c>
      <c r="AB14" s="59">
        <f t="shared" si="13"/>
        <v>0.30517347338636219</v>
      </c>
      <c r="AC14" s="59">
        <f t="shared" si="13"/>
        <v>0.35421681586317699</v>
      </c>
      <c r="AD14" s="59">
        <f t="shared" si="13"/>
        <v>0.39431344159622467</v>
      </c>
      <c r="AE14" s="59">
        <f t="shared" si="13"/>
        <v>0.42708327443129374</v>
      </c>
      <c r="AF14" s="60">
        <f t="shared" si="13"/>
        <v>0.4538547835084592</v>
      </c>
    </row>
    <row r="15" spans="2:32" x14ac:dyDescent="0.2">
      <c r="B15" s="24"/>
      <c r="C15" s="38"/>
      <c r="D15" s="39"/>
      <c r="E15" s="56"/>
      <c r="F15" s="43"/>
      <c r="G15" s="27"/>
      <c r="H15" s="25"/>
      <c r="I15" s="25"/>
      <c r="J15" s="25"/>
      <c r="K15" s="42"/>
      <c r="L15" s="63"/>
      <c r="N15" s="94"/>
      <c r="O15" s="72" t="s">
        <v>45</v>
      </c>
      <c r="P15" s="72"/>
      <c r="Q15" s="74">
        <f t="shared" ref="Q15:V15" si="14">(Q12*$P12+Q13*$P13)*Q14</f>
        <v>60000.000000000022</v>
      </c>
      <c r="R15" s="74">
        <f t="shared" si="14"/>
        <v>72000.000000000029</v>
      </c>
      <c r="S15" s="74">
        <f t="shared" si="14"/>
        <v>86400.000000000044</v>
      </c>
      <c r="T15" s="74">
        <f t="shared" si="14"/>
        <v>103680.00000000004</v>
      </c>
      <c r="U15" s="74">
        <f t="shared" si="14"/>
        <v>124416.00000000004</v>
      </c>
      <c r="V15" s="75">
        <f t="shared" si="14"/>
        <v>149299.20000000004</v>
      </c>
      <c r="X15" s="24"/>
      <c r="Y15" s="38"/>
      <c r="Z15" s="38"/>
      <c r="AA15" s="38"/>
      <c r="AB15" s="25"/>
      <c r="AC15" s="25"/>
      <c r="AD15" s="25"/>
      <c r="AE15" s="25"/>
      <c r="AF15" s="28"/>
    </row>
    <row r="16" spans="2:32" ht="13.5" thickBot="1" x14ac:dyDescent="0.25">
      <c r="B16" s="86"/>
      <c r="C16" s="87" t="s">
        <v>22</v>
      </c>
      <c r="D16" s="88">
        <f>SUM(D4:D15)</f>
        <v>55646.289940828399</v>
      </c>
      <c r="E16" s="88">
        <f t="shared" si="2"/>
        <v>247.31684418145954</v>
      </c>
      <c r="F16" s="89">
        <f>+D16/D$16</f>
        <v>1</v>
      </c>
      <c r="G16" s="90"/>
      <c r="H16" s="91"/>
      <c r="I16" s="87" t="s">
        <v>42</v>
      </c>
      <c r="J16" s="91"/>
      <c r="K16" s="88">
        <f>D16</f>
        <v>55646.289940828399</v>
      </c>
      <c r="L16" s="92">
        <f>+L14+L7</f>
        <v>1</v>
      </c>
      <c r="N16" s="37" t="s">
        <v>46</v>
      </c>
      <c r="O16" s="25"/>
      <c r="P16" s="84"/>
      <c r="Q16" s="48">
        <f t="shared" ref="Q16:V16" si="15">Q15-Q10</f>
        <v>21000.000000000007</v>
      </c>
      <c r="R16" s="48">
        <f t="shared" si="15"/>
        <v>28200.000000000015</v>
      </c>
      <c r="S16" s="48">
        <f t="shared" si="15"/>
        <v>36840.000000000022</v>
      </c>
      <c r="T16" s="48">
        <f t="shared" si="15"/>
        <v>47208.000000000022</v>
      </c>
      <c r="U16" s="48">
        <f t="shared" si="15"/>
        <v>59649.60000000002</v>
      </c>
      <c r="V16" s="49">
        <f t="shared" si="15"/>
        <v>74579.520000000019</v>
      </c>
      <c r="X16" s="24"/>
      <c r="Y16" s="47" t="s">
        <v>44</v>
      </c>
      <c r="Z16" s="54">
        <f>SUM(AA16:AF16)</f>
        <v>357236.45346745569</v>
      </c>
      <c r="AA16" s="54">
        <f t="shared" ref="AA16:AF16" si="16">Q51</f>
        <v>35911.908284023681</v>
      </c>
      <c r="AB16" s="48">
        <f t="shared" si="16"/>
        <v>43179.497041420138</v>
      </c>
      <c r="AC16" s="48">
        <f t="shared" si="16"/>
        <v>51815.396449704167</v>
      </c>
      <c r="AD16" s="48">
        <f t="shared" si="16"/>
        <v>62178.475739644993</v>
      </c>
      <c r="AE16" s="48">
        <f t="shared" si="16"/>
        <v>74614.170887573986</v>
      </c>
      <c r="AF16" s="49">
        <f t="shared" si="16"/>
        <v>89537.005065088772</v>
      </c>
    </row>
    <row r="17" spans="2:38" ht="13.5" thickBot="1" x14ac:dyDescent="0.25">
      <c r="N17" s="95"/>
      <c r="O17" s="99" t="s">
        <v>48</v>
      </c>
      <c r="P17" s="100"/>
      <c r="Q17" s="101">
        <f t="shared" ref="Q17:V17" si="17">Q16/Q15</f>
        <v>0.35</v>
      </c>
      <c r="R17" s="101">
        <f t="shared" si="17"/>
        <v>0.39166666666666672</v>
      </c>
      <c r="S17" s="101">
        <f t="shared" si="17"/>
        <v>0.42638888888888893</v>
      </c>
      <c r="T17" s="101">
        <f t="shared" si="17"/>
        <v>0.4553240740740741</v>
      </c>
      <c r="U17" s="101">
        <f t="shared" si="17"/>
        <v>0.47943672839506174</v>
      </c>
      <c r="V17" s="102">
        <f t="shared" si="17"/>
        <v>0.49953060699588475</v>
      </c>
      <c r="X17" s="24"/>
      <c r="Y17" s="47" t="s">
        <v>37</v>
      </c>
      <c r="Z17" s="54">
        <f>SUM(AA17:AF17)</f>
        <v>625283.49046153878</v>
      </c>
      <c r="AA17" s="54">
        <f t="shared" ref="AA17:AF17" si="18">AA13</f>
        <v>62878.846153846185</v>
      </c>
      <c r="AB17" s="48">
        <f t="shared" si="18"/>
        <v>75575.769230769263</v>
      </c>
      <c r="AC17" s="48">
        <f t="shared" si="18"/>
        <v>90690.923076923122</v>
      </c>
      <c r="AD17" s="48">
        <f t="shared" si="18"/>
        <v>108829.10769230773</v>
      </c>
      <c r="AE17" s="48">
        <f t="shared" si="18"/>
        <v>130594.92923076928</v>
      </c>
      <c r="AF17" s="49">
        <f t="shared" si="18"/>
        <v>156713.91507692315</v>
      </c>
    </row>
    <row r="18" spans="2:38" ht="13.5" thickBot="1" x14ac:dyDescent="0.25">
      <c r="X18" s="95"/>
      <c r="Y18" s="96" t="s">
        <v>47</v>
      </c>
      <c r="Z18" s="97">
        <f t="shared" ref="Z18:AF18" si="19">Z16/Z17</f>
        <v>0.5713191838853281</v>
      </c>
      <c r="AA18" s="97">
        <f t="shared" si="19"/>
        <v>0.57112861448121555</v>
      </c>
      <c r="AB18" s="97">
        <f t="shared" si="19"/>
        <v>0.57134049022474798</v>
      </c>
      <c r="AC18" s="97">
        <f t="shared" si="19"/>
        <v>0.57134049022474798</v>
      </c>
      <c r="AD18" s="97">
        <f t="shared" si="19"/>
        <v>0.57134049022474798</v>
      </c>
      <c r="AE18" s="97">
        <f t="shared" si="19"/>
        <v>0.57134049022474798</v>
      </c>
      <c r="AF18" s="98">
        <f t="shared" si="19"/>
        <v>0.57134049022474787</v>
      </c>
    </row>
    <row r="19" spans="2:38" ht="18.75" thickBot="1" x14ac:dyDescent="0.3">
      <c r="B19" s="5" t="s">
        <v>49</v>
      </c>
      <c r="C19" s="6"/>
      <c r="D19" s="103"/>
      <c r="E19" s="103"/>
      <c r="F19" s="103"/>
      <c r="G19" s="8">
        <f>+F2</f>
        <v>1</v>
      </c>
      <c r="H19" s="104" t="str">
        <f>+G2</f>
        <v>Almonds &amp; Vanilla Cakes, Lekki</v>
      </c>
      <c r="I19" s="6"/>
      <c r="J19" s="6"/>
      <c r="K19" s="10"/>
      <c r="L19" s="105"/>
      <c r="N19" s="19" t="s">
        <v>50</v>
      </c>
      <c r="O19" s="106"/>
      <c r="P19" s="20"/>
      <c r="Q19" s="21">
        <f>+$F$2</f>
        <v>1</v>
      </c>
      <c r="R19" s="22" t="str">
        <f>+$G$2</f>
        <v>Almonds &amp; Vanilla Cakes, Lekki</v>
      </c>
      <c r="S19" s="23"/>
      <c r="T19" s="23"/>
      <c r="U19" s="23"/>
      <c r="V19" s="11" t="str">
        <f>$L$2</f>
        <v>1000 NGN</v>
      </c>
    </row>
    <row r="20" spans="2:38" ht="16.5" thickBot="1" x14ac:dyDescent="0.3">
      <c r="B20" s="24"/>
      <c r="C20" s="25"/>
      <c r="D20" s="42"/>
      <c r="E20" s="42"/>
      <c r="F20" s="25"/>
      <c r="G20" s="27"/>
      <c r="H20" s="25"/>
      <c r="I20" s="25"/>
      <c r="J20" s="25"/>
      <c r="K20" s="42"/>
      <c r="L20" s="28"/>
      <c r="N20" s="29" t="s">
        <v>52</v>
      </c>
      <c r="O20" s="30"/>
      <c r="P20" s="30"/>
      <c r="Q20" s="33">
        <f t="shared" ref="Q20:V20" si="20">Q3</f>
        <v>2015</v>
      </c>
      <c r="R20" s="33">
        <f t="shared" si="20"/>
        <v>2016</v>
      </c>
      <c r="S20" s="33">
        <f t="shared" si="20"/>
        <v>2017</v>
      </c>
      <c r="T20" s="33">
        <f t="shared" si="20"/>
        <v>2018</v>
      </c>
      <c r="U20" s="33">
        <f t="shared" si="20"/>
        <v>2019</v>
      </c>
      <c r="V20" s="34">
        <f t="shared" si="20"/>
        <v>2020</v>
      </c>
    </row>
    <row r="21" spans="2:38" ht="18.75" thickBot="1" x14ac:dyDescent="0.3">
      <c r="B21" s="111" t="s">
        <v>53</v>
      </c>
      <c r="C21" s="41" t="str">
        <f>I6</f>
        <v>Other Partners</v>
      </c>
      <c r="D21" s="112" t="s">
        <v>54</v>
      </c>
      <c r="E21" s="112"/>
      <c r="F21" s="113" t="s">
        <v>55</v>
      </c>
      <c r="G21" s="114" t="s">
        <v>55</v>
      </c>
      <c r="H21" s="115" t="s">
        <v>56</v>
      </c>
      <c r="I21" s="41" t="str">
        <f>I5</f>
        <v>Bakery Family</v>
      </c>
      <c r="J21" s="116" t="s">
        <v>57</v>
      </c>
      <c r="K21" s="117" t="s">
        <v>58</v>
      </c>
      <c r="L21" s="118" t="s">
        <v>59</v>
      </c>
      <c r="N21" s="24"/>
      <c r="O21" s="38" t="s">
        <v>60</v>
      </c>
      <c r="P21" s="70">
        <v>0.05</v>
      </c>
      <c r="Q21" s="48">
        <f t="shared" ref="Q21:V21" si="21">+($D$5)*$P21</f>
        <v>900</v>
      </c>
      <c r="R21" s="48">
        <f t="shared" si="21"/>
        <v>900</v>
      </c>
      <c r="S21" s="48">
        <f t="shared" si="21"/>
        <v>900</v>
      </c>
      <c r="T21" s="48">
        <f t="shared" si="21"/>
        <v>900</v>
      </c>
      <c r="U21" s="48">
        <f t="shared" si="21"/>
        <v>900</v>
      </c>
      <c r="V21" s="49">
        <f t="shared" si="21"/>
        <v>900</v>
      </c>
      <c r="X21" s="19" t="s">
        <v>51</v>
      </c>
      <c r="Y21" s="20"/>
      <c r="Z21" s="20"/>
      <c r="AA21" s="21">
        <f>AA37</f>
        <v>1</v>
      </c>
      <c r="AB21" s="22" t="str">
        <f>AB37</f>
        <v>Almonds &amp; Vanilla Cakes, Lekki</v>
      </c>
      <c r="AC21" s="23"/>
      <c r="AD21" s="23"/>
      <c r="AE21" s="23"/>
      <c r="AF21" s="11" t="str">
        <f>$L$2</f>
        <v>1000 NGN</v>
      </c>
      <c r="AH21" s="107"/>
      <c r="AI21" s="107"/>
      <c r="AJ21" s="107"/>
      <c r="AK21" s="107"/>
      <c r="AL21" s="107"/>
    </row>
    <row r="22" spans="2:38" ht="15.75" x14ac:dyDescent="0.25">
      <c r="B22" s="122"/>
      <c r="C22" s="25" t="s">
        <v>62</v>
      </c>
      <c r="D22" s="42">
        <v>0</v>
      </c>
      <c r="E22" s="42"/>
      <c r="F22" s="70">
        <v>0</v>
      </c>
      <c r="G22" s="27">
        <f>+D22*F22</f>
        <v>0</v>
      </c>
      <c r="H22" s="25"/>
      <c r="I22" s="38" t="s">
        <v>63</v>
      </c>
      <c r="J22" s="42">
        <f>D4</f>
        <v>0</v>
      </c>
      <c r="K22" s="70">
        <v>0</v>
      </c>
      <c r="L22" s="123">
        <f>J22*K22</f>
        <v>0</v>
      </c>
      <c r="N22" s="24"/>
      <c r="O22" s="38" t="s">
        <v>64</v>
      </c>
      <c r="P22" s="70">
        <v>0.08</v>
      </c>
      <c r="Q22" s="48">
        <f t="shared" ref="Q22:V22" si="22">+$P22*($D$6+$D$7+$D$8+$D$9+$D$14)</f>
        <v>2554.16</v>
      </c>
      <c r="R22" s="48">
        <f t="shared" si="22"/>
        <v>2554.16</v>
      </c>
      <c r="S22" s="48">
        <f t="shared" si="22"/>
        <v>2554.16</v>
      </c>
      <c r="T22" s="48">
        <f t="shared" si="22"/>
        <v>2554.16</v>
      </c>
      <c r="U22" s="48">
        <f t="shared" si="22"/>
        <v>2554.16</v>
      </c>
      <c r="V22" s="49">
        <f t="shared" si="22"/>
        <v>2554.16</v>
      </c>
      <c r="X22" s="108"/>
      <c r="Y22" s="30"/>
      <c r="Z22" s="30"/>
      <c r="AA22" s="33">
        <f t="shared" ref="AA22:AF22" si="23">Q20</f>
        <v>2015</v>
      </c>
      <c r="AB22" s="33">
        <f t="shared" si="23"/>
        <v>2016</v>
      </c>
      <c r="AC22" s="33">
        <f t="shared" si="23"/>
        <v>2017</v>
      </c>
      <c r="AD22" s="33">
        <f t="shared" si="23"/>
        <v>2018</v>
      </c>
      <c r="AE22" s="33">
        <f t="shared" si="23"/>
        <v>2019</v>
      </c>
      <c r="AF22" s="34">
        <f t="shared" si="23"/>
        <v>2020</v>
      </c>
      <c r="AH22" s="109">
        <f>AF22+1</f>
        <v>2021</v>
      </c>
      <c r="AI22" s="109">
        <f>AH22+1</f>
        <v>2022</v>
      </c>
      <c r="AJ22" s="109">
        <f>AI22+1</f>
        <v>2023</v>
      </c>
      <c r="AK22" s="109">
        <f>AJ22+1</f>
        <v>2024</v>
      </c>
      <c r="AL22" s="110">
        <f>AK22+1</f>
        <v>2025</v>
      </c>
    </row>
    <row r="23" spans="2:38" x14ac:dyDescent="0.2">
      <c r="B23" s="122"/>
      <c r="C23" s="25" t="s">
        <v>66</v>
      </c>
      <c r="D23" s="42">
        <v>0</v>
      </c>
      <c r="E23" s="42"/>
      <c r="F23" s="70">
        <v>0</v>
      </c>
      <c r="G23" s="27">
        <f>+D23*F23</f>
        <v>0</v>
      </c>
      <c r="H23" s="25"/>
      <c r="I23" s="38" t="s">
        <v>67</v>
      </c>
      <c r="J23" s="127"/>
      <c r="K23" s="70">
        <v>0</v>
      </c>
      <c r="L23" s="123">
        <f>J23*K23</f>
        <v>0</v>
      </c>
      <c r="N23" s="24"/>
      <c r="O23" s="38" t="s">
        <v>68</v>
      </c>
      <c r="P23" s="25"/>
      <c r="Q23" s="48">
        <f t="shared" ref="Q23:V23" si="24">+Q21+Q22</f>
        <v>3454.16</v>
      </c>
      <c r="R23" s="48">
        <f t="shared" si="24"/>
        <v>3454.16</v>
      </c>
      <c r="S23" s="48">
        <f t="shared" si="24"/>
        <v>3454.16</v>
      </c>
      <c r="T23" s="48">
        <f t="shared" si="24"/>
        <v>3454.16</v>
      </c>
      <c r="U23" s="48">
        <f t="shared" si="24"/>
        <v>3454.16</v>
      </c>
      <c r="V23" s="49">
        <f t="shared" si="24"/>
        <v>3454.16</v>
      </c>
      <c r="X23" s="24"/>
      <c r="Y23" s="119" t="s">
        <v>61</v>
      </c>
      <c r="Z23" s="25"/>
      <c r="AA23" s="48">
        <f>-SUM(D4:D9,D14)</f>
        <v>-49927</v>
      </c>
      <c r="AB23" s="48"/>
      <c r="AC23" s="48"/>
      <c r="AD23" s="48"/>
      <c r="AE23" s="48"/>
      <c r="AF23" s="49"/>
      <c r="AH23" s="120"/>
      <c r="AI23" s="120"/>
      <c r="AJ23" s="120"/>
      <c r="AK23" s="120"/>
      <c r="AL23" s="121"/>
    </row>
    <row r="24" spans="2:38" x14ac:dyDescent="0.2">
      <c r="B24" s="122"/>
      <c r="C24" s="25" t="s">
        <v>70</v>
      </c>
      <c r="D24" s="42"/>
      <c r="E24" s="42"/>
      <c r="F24" s="25"/>
      <c r="G24" s="131">
        <f>K6</f>
        <v>0.28994082839926705</v>
      </c>
      <c r="H24" s="25"/>
      <c r="I24" s="25" t="s">
        <v>70</v>
      </c>
      <c r="J24" s="132">
        <f>+K5-J22-J23</f>
        <v>48000</v>
      </c>
      <c r="K24" s="70">
        <v>1</v>
      </c>
      <c r="L24" s="133">
        <f>J24*K24</f>
        <v>48000</v>
      </c>
      <c r="N24" s="37" t="s">
        <v>71</v>
      </c>
      <c r="O24" s="25"/>
      <c r="P24" s="25"/>
      <c r="Q24" s="48"/>
      <c r="R24" s="48"/>
      <c r="S24" s="48"/>
      <c r="T24" s="48"/>
      <c r="U24" s="48"/>
      <c r="V24" s="49"/>
      <c r="X24" s="24"/>
      <c r="Y24" s="38" t="s">
        <v>65</v>
      </c>
      <c r="Z24" s="124"/>
      <c r="AA24" s="48">
        <f>AA23+Q60-D15</f>
        <v>-33869.955715976321</v>
      </c>
      <c r="AB24" s="48">
        <f>AB23+R60</f>
        <v>21884.633041420129</v>
      </c>
      <c r="AC24" s="48">
        <f>AC23+S60</f>
        <v>29128.956449704168</v>
      </c>
      <c r="AD24" s="48">
        <f>AD23+T60</f>
        <v>37754.859739644991</v>
      </c>
      <c r="AE24" s="48">
        <f>AE23+U60</f>
        <v>48038.658887573984</v>
      </c>
      <c r="AF24" s="49">
        <f>AF23+V60</f>
        <v>60311.933065088771</v>
      </c>
      <c r="AH24" s="125">
        <f>AF24</f>
        <v>60311.933065088771</v>
      </c>
      <c r="AI24" s="125">
        <f>AH24</f>
        <v>60311.933065088771</v>
      </c>
      <c r="AJ24" s="125">
        <f>AI24</f>
        <v>60311.933065088771</v>
      </c>
      <c r="AK24" s="125">
        <f>AJ24</f>
        <v>60311.933065088771</v>
      </c>
      <c r="AL24" s="126">
        <f>AK24</f>
        <v>60311.933065088771</v>
      </c>
    </row>
    <row r="25" spans="2:38" x14ac:dyDescent="0.2">
      <c r="B25" s="122"/>
      <c r="C25" s="41" t="s">
        <v>73</v>
      </c>
      <c r="D25" s="42"/>
      <c r="E25" s="42"/>
      <c r="F25" s="25"/>
      <c r="G25" s="135">
        <f>G24-G22-G23</f>
        <v>0.28994082839926705</v>
      </c>
      <c r="H25" s="25"/>
      <c r="I25" s="41" t="s">
        <v>73</v>
      </c>
      <c r="J25" s="136">
        <f>SUM(J22:J24)</f>
        <v>48000</v>
      </c>
      <c r="K25" s="25"/>
      <c r="L25" s="137">
        <f>SUM(L22:L24)</f>
        <v>48000</v>
      </c>
      <c r="N25" s="24"/>
      <c r="O25" s="38" t="s">
        <v>74</v>
      </c>
      <c r="P25" s="138"/>
      <c r="Q25" s="139">
        <f>Q44</f>
        <v>7646</v>
      </c>
      <c r="R25" s="139">
        <f>-R44</f>
        <v>0</v>
      </c>
      <c r="S25" s="139">
        <f>-S44</f>
        <v>0</v>
      </c>
      <c r="T25" s="48"/>
      <c r="U25" s="48"/>
      <c r="V25" s="49"/>
      <c r="X25" s="24"/>
      <c r="Y25" s="128" t="s">
        <v>69</v>
      </c>
      <c r="Z25" s="129">
        <v>0.15</v>
      </c>
      <c r="AA25" s="47">
        <f t="shared" ref="AA25:AF25" si="25">+AA24/((1+$Z25)^(AA22-$Q$3))</f>
        <v>-33869.955715976321</v>
      </c>
      <c r="AB25" s="47">
        <f t="shared" si="25"/>
        <v>19030.115688191418</v>
      </c>
      <c r="AC25" s="47">
        <f t="shared" si="25"/>
        <v>22025.675954407692</v>
      </c>
      <c r="AD25" s="47">
        <f t="shared" si="25"/>
        <v>24824.433132009537</v>
      </c>
      <c r="AE25" s="47">
        <f t="shared" si="25"/>
        <v>27466.259132907042</v>
      </c>
      <c r="AF25" s="130">
        <f t="shared" si="25"/>
        <v>29985.689980829819</v>
      </c>
      <c r="AH25" s="125">
        <f>+AH24/((1+$Z25)^(AH22-$Q$3))</f>
        <v>26074.513026808538</v>
      </c>
      <c r="AI25" s="125">
        <f>+AI24/((1+$Z25)^(AI22-$Q$3))</f>
        <v>22673.48958852917</v>
      </c>
      <c r="AJ25" s="125">
        <f>+AJ24/((1+$Z25)^(AJ22-$Q$3))</f>
        <v>19716.077903068846</v>
      </c>
      <c r="AK25" s="125">
        <f>+AK24/((1+$Z25)^(AK22-$Q$3))</f>
        <v>17144.415567885953</v>
      </c>
      <c r="AL25" s="126">
        <f>+AL24/((1+$Z25)^(AL22-$Q$3))</f>
        <v>14908.187450335612</v>
      </c>
    </row>
    <row r="26" spans="2:38" x14ac:dyDescent="0.2">
      <c r="B26" s="122"/>
      <c r="C26" s="25"/>
      <c r="D26" s="42"/>
      <c r="E26" s="42"/>
      <c r="F26" s="25"/>
      <c r="G26" s="27"/>
      <c r="H26" s="25"/>
      <c r="I26" s="25"/>
      <c r="J26" s="25"/>
      <c r="K26" s="42"/>
      <c r="L26" s="28"/>
      <c r="N26" s="24"/>
      <c r="O26" s="25" t="s">
        <v>78</v>
      </c>
      <c r="P26" s="144">
        <v>0.22</v>
      </c>
      <c r="Q26" s="48">
        <f>+Q25*$P26</f>
        <v>1682.1200000000001</v>
      </c>
      <c r="R26" s="48">
        <f>+Q28*$P26</f>
        <v>1682.1200000000001</v>
      </c>
      <c r="S26" s="48">
        <f>+R28*$P26</f>
        <v>1261.5899999999999</v>
      </c>
      <c r="T26" s="48">
        <f>+S28*$P26</f>
        <v>841.06000000000006</v>
      </c>
      <c r="U26" s="48">
        <f>+T28*$P26</f>
        <v>420.53000000000003</v>
      </c>
      <c r="V26" s="49">
        <f>+U28*$P26</f>
        <v>0</v>
      </c>
      <c r="X26" s="24"/>
      <c r="Y26" s="128" t="s">
        <v>72</v>
      </c>
      <c r="Z26" s="134"/>
      <c r="AA26" s="47">
        <f>+AA25</f>
        <v>-33869.955715976321</v>
      </c>
      <c r="AB26" s="47">
        <f>+AA26+AB25</f>
        <v>-14839.840027784903</v>
      </c>
      <c r="AC26" s="47">
        <f>+AB26+AC25</f>
        <v>7185.835926622789</v>
      </c>
      <c r="AD26" s="47">
        <f>+AC26+AD25</f>
        <v>32010.269058632326</v>
      </c>
      <c r="AE26" s="47">
        <f>+AD26+AE25</f>
        <v>59476.528191539372</v>
      </c>
      <c r="AF26" s="130">
        <f>+AE26+AF25</f>
        <v>89462.21817236919</v>
      </c>
      <c r="AH26" s="125">
        <f>+AF26+AH25</f>
        <v>115536.73119917772</v>
      </c>
      <c r="AI26" s="125">
        <f>+AH26+AI25</f>
        <v>138210.2207877069</v>
      </c>
      <c r="AJ26" s="125">
        <f>+AI26+AJ25</f>
        <v>157926.29869077576</v>
      </c>
      <c r="AK26" s="125">
        <f>+AJ26+AK25</f>
        <v>175070.71425866173</v>
      </c>
      <c r="AL26" s="126">
        <f>+AK26+AL25</f>
        <v>189978.90170899735</v>
      </c>
    </row>
    <row r="27" spans="2:38" x14ac:dyDescent="0.2">
      <c r="B27" s="111" t="s">
        <v>81</v>
      </c>
      <c r="C27" s="41" t="s">
        <v>82</v>
      </c>
      <c r="D27" s="112" t="s">
        <v>83</v>
      </c>
      <c r="E27" s="112"/>
      <c r="F27" s="146" t="s">
        <v>84</v>
      </c>
      <c r="G27" s="147" t="s">
        <v>85</v>
      </c>
      <c r="H27" s="25"/>
      <c r="I27" s="25"/>
      <c r="J27" s="25"/>
      <c r="K27" s="42"/>
      <c r="L27" s="28"/>
      <c r="N27" s="24"/>
      <c r="O27" s="38" t="s">
        <v>86</v>
      </c>
      <c r="P27" s="148">
        <v>4</v>
      </c>
      <c r="Q27" s="68">
        <v>0</v>
      </c>
      <c r="R27" s="48">
        <f>SUM($Q25:Q25)/$P27</f>
        <v>1911.5</v>
      </c>
      <c r="S27" s="48">
        <f>SUM($Q25:R25)/$P27</f>
        <v>1911.5</v>
      </c>
      <c r="T27" s="48">
        <f>SUM($Q25:S25)/$P27</f>
        <v>1911.5</v>
      </c>
      <c r="U27" s="48">
        <f>SUM($Q25:T25)/$P27</f>
        <v>1911.5</v>
      </c>
      <c r="V27" s="149">
        <v>0</v>
      </c>
      <c r="X27" s="24"/>
      <c r="Y27" s="128"/>
      <c r="Z27" s="25"/>
      <c r="AA27" s="140" t="s">
        <v>75</v>
      </c>
      <c r="AB27" s="140" t="s">
        <v>76</v>
      </c>
      <c r="AC27" s="141" t="s">
        <v>77</v>
      </c>
      <c r="AD27" s="48"/>
      <c r="AE27" s="48"/>
      <c r="AF27" s="49"/>
      <c r="AH27" s="142"/>
      <c r="AI27" s="142"/>
      <c r="AJ27" s="142"/>
      <c r="AK27" s="142"/>
      <c r="AL27" s="143"/>
    </row>
    <row r="28" spans="2:38" x14ac:dyDescent="0.2">
      <c r="B28" s="24"/>
      <c r="C28" s="25" t="s">
        <v>88</v>
      </c>
      <c r="D28" s="42">
        <f>+D4+D5</f>
        <v>18000</v>
      </c>
      <c r="E28" s="42"/>
      <c r="F28" s="70">
        <v>0.9</v>
      </c>
      <c r="G28" s="27">
        <f>+D28*F28</f>
        <v>16200</v>
      </c>
      <c r="H28" s="25"/>
      <c r="I28" s="25"/>
      <c r="J28" s="25"/>
      <c r="K28" s="42"/>
      <c r="L28" s="28"/>
      <c r="N28" s="24"/>
      <c r="O28" s="25" t="s">
        <v>89</v>
      </c>
      <c r="P28" s="25"/>
      <c r="Q28" s="48">
        <f>Q25-Q27</f>
        <v>7646</v>
      </c>
      <c r="R28" s="48">
        <f>Q28+R25-R27</f>
        <v>5734.5</v>
      </c>
      <c r="S28" s="48">
        <f>R28+S25-S27</f>
        <v>3823</v>
      </c>
      <c r="T28" s="48">
        <f>S28+T25-T27</f>
        <v>1911.5</v>
      </c>
      <c r="U28" s="48">
        <f>T28+U25-U27</f>
        <v>0</v>
      </c>
      <c r="V28" s="49">
        <f>U28+V25-V27</f>
        <v>0</v>
      </c>
      <c r="X28" s="24"/>
      <c r="Y28" s="128" t="s">
        <v>79</v>
      </c>
      <c r="Z28" s="25"/>
      <c r="AA28" s="47">
        <f>SUM(AA25:AE25)</f>
        <v>59476.528191539372</v>
      </c>
      <c r="AB28" s="145">
        <f>IRR(AA24:AE24,0.01)</f>
        <v>0.75756379127362128</v>
      </c>
      <c r="AC28" s="48">
        <f>MIN(AB30:AK30)</f>
        <v>3</v>
      </c>
      <c r="AD28" s="38" t="s">
        <v>80</v>
      </c>
      <c r="AE28" s="25"/>
      <c r="AF28" s="28"/>
      <c r="AH28" s="142"/>
      <c r="AI28" s="142"/>
      <c r="AJ28" s="142"/>
      <c r="AK28" s="142"/>
      <c r="AL28" s="143"/>
    </row>
    <row r="29" spans="2:38" ht="13.5" thickBot="1" x14ac:dyDescent="0.25">
      <c r="B29" s="24"/>
      <c r="C29" s="25" t="s">
        <v>90</v>
      </c>
      <c r="D29" s="42">
        <f>D6+D7+D8+D9</f>
        <v>31400</v>
      </c>
      <c r="E29" s="42"/>
      <c r="F29" s="70">
        <v>0.6</v>
      </c>
      <c r="G29" s="131">
        <f>+D29*F29</f>
        <v>18840</v>
      </c>
      <c r="H29" s="25"/>
      <c r="I29" s="25"/>
      <c r="J29" s="25"/>
      <c r="K29" s="42"/>
      <c r="L29" s="28"/>
      <c r="N29" s="37" t="s">
        <v>270</v>
      </c>
      <c r="O29" s="25"/>
      <c r="P29" s="25"/>
      <c r="Q29" s="48"/>
      <c r="R29" s="48"/>
      <c r="S29" s="48"/>
      <c r="T29" s="48"/>
      <c r="U29" s="48"/>
      <c r="V29" s="49"/>
      <c r="X29" s="95"/>
      <c r="Y29" s="150" t="s">
        <v>87</v>
      </c>
      <c r="Z29" s="161"/>
      <c r="AA29" s="151">
        <f>SUM(AA25:AK25)</f>
        <v>175070.71425866173</v>
      </c>
      <c r="AB29" s="152">
        <f>IRR(AA24:AK24,0.01)</f>
        <v>0.89661154005470256</v>
      </c>
      <c r="AC29" s="153"/>
      <c r="AD29" s="153"/>
      <c r="AE29" s="153"/>
      <c r="AF29" s="154"/>
      <c r="AH29" s="142"/>
      <c r="AI29" s="142"/>
      <c r="AJ29" s="142"/>
      <c r="AK29" s="142"/>
      <c r="AL29" s="143"/>
    </row>
    <row r="30" spans="2:38" ht="13.5" thickBot="1" x14ac:dyDescent="0.25">
      <c r="B30" s="24"/>
      <c r="C30" s="25" t="s">
        <v>92</v>
      </c>
      <c r="D30" s="42"/>
      <c r="E30" s="42"/>
      <c r="F30" s="25"/>
      <c r="G30" s="27">
        <f>SUM(G28:G29)</f>
        <v>35040</v>
      </c>
      <c r="H30" s="25"/>
      <c r="I30" s="157">
        <f>-G30/G31</f>
        <v>4.5827883860842267</v>
      </c>
      <c r="J30" s="25"/>
      <c r="K30" s="42"/>
      <c r="L30" s="28"/>
      <c r="N30" s="24"/>
      <c r="O30" s="38" t="s">
        <v>29</v>
      </c>
      <c r="P30" s="43"/>
      <c r="Q30" s="67">
        <v>1</v>
      </c>
      <c r="R30" s="67">
        <v>1</v>
      </c>
      <c r="S30" s="54">
        <f>R30</f>
        <v>1</v>
      </c>
      <c r="T30" s="54">
        <f>S30</f>
        <v>1</v>
      </c>
      <c r="U30" s="54">
        <f>T30</f>
        <v>1</v>
      </c>
      <c r="V30" s="55">
        <f>U30</f>
        <v>1</v>
      </c>
      <c r="AA30" s="1" t="str">
        <f>IF(AA26&lt;0,"",AA22-$AA22)</f>
        <v/>
      </c>
      <c r="AB30" s="1" t="str">
        <f>IF(AB26&lt;0,"",AC22-$AA22)</f>
        <v/>
      </c>
      <c r="AC30" s="1">
        <f>IF(AC26&lt;0,"",AD22-$AA22)</f>
        <v>3</v>
      </c>
      <c r="AD30" s="275">
        <f>IF(AD26&lt;0,"",AE22-$AA22)</f>
        <v>4</v>
      </c>
      <c r="AE30" s="275">
        <f>IF(AE26&lt;0,"",AF22-$AA22)</f>
        <v>5</v>
      </c>
      <c r="AF30" s="275">
        <f>IF(AF26&lt;0,"",AH22-$AA22)</f>
        <v>6</v>
      </c>
      <c r="AH30" s="155">
        <f>IF(AH26&lt;0,"",AI22-$AA22)</f>
        <v>7</v>
      </c>
      <c r="AI30" s="155">
        <f>IF(AI26&lt;0,"",AJ22-$AA22)</f>
        <v>8</v>
      </c>
      <c r="AJ30" s="155">
        <f>IF(AJ26&lt;0,"",AK22-$AA22)</f>
        <v>9</v>
      </c>
      <c r="AK30" s="155">
        <f>IF(AK26&lt;0,"",AL22-$AA22)</f>
        <v>10</v>
      </c>
      <c r="AL30" s="156"/>
    </row>
    <row r="31" spans="2:38" x14ac:dyDescent="0.2">
      <c r="B31" s="24"/>
      <c r="C31" s="25" t="s">
        <v>94</v>
      </c>
      <c r="D31" s="42"/>
      <c r="E31" s="42"/>
      <c r="F31" s="25"/>
      <c r="G31" s="131">
        <f>-K13</f>
        <v>-7646</v>
      </c>
      <c r="H31" s="53"/>
      <c r="I31" s="158"/>
      <c r="J31" s="25"/>
      <c r="K31" s="42"/>
      <c r="L31" s="28"/>
      <c r="M31" s="79"/>
      <c r="N31" s="71"/>
      <c r="O31" s="80" t="s">
        <v>32</v>
      </c>
      <c r="P31" s="81"/>
      <c r="Q31" s="82">
        <f t="shared" ref="Q31:V31" si="26">Q10*Q30/52</f>
        <v>750.00000000000023</v>
      </c>
      <c r="R31" s="82">
        <f t="shared" si="26"/>
        <v>842.30769230769261</v>
      </c>
      <c r="S31" s="82">
        <f t="shared" si="26"/>
        <v>953.07692307692355</v>
      </c>
      <c r="T31" s="82">
        <f t="shared" si="26"/>
        <v>1086.0000000000005</v>
      </c>
      <c r="U31" s="82">
        <f t="shared" si="26"/>
        <v>1245.5076923076927</v>
      </c>
      <c r="V31" s="83">
        <f t="shared" si="26"/>
        <v>1436.9169230769235</v>
      </c>
    </row>
    <row r="32" spans="2:38" ht="13.5" thickBot="1" x14ac:dyDescent="0.25">
      <c r="B32" s="95"/>
      <c r="C32" s="159" t="s">
        <v>73</v>
      </c>
      <c r="D32" s="160"/>
      <c r="E32" s="160"/>
      <c r="F32" s="161"/>
      <c r="G32" s="162">
        <f>-SUM(G30:G31)</f>
        <v>-27394</v>
      </c>
      <c r="H32" s="161"/>
      <c r="I32" s="161"/>
      <c r="J32" s="161"/>
      <c r="K32" s="160"/>
      <c r="L32" s="163"/>
      <c r="N32" s="37" t="s">
        <v>91</v>
      </c>
      <c r="O32" s="25"/>
      <c r="P32" s="25"/>
      <c r="Q32" s="48"/>
      <c r="R32" s="48"/>
      <c r="S32" s="48"/>
      <c r="T32" s="48"/>
      <c r="U32" s="48"/>
      <c r="V32" s="49"/>
    </row>
    <row r="33" spans="14:32" x14ac:dyDescent="0.2">
      <c r="N33" s="24"/>
      <c r="O33" s="25" t="s">
        <v>93</v>
      </c>
      <c r="P33" s="139">
        <f>+D28</f>
        <v>18000</v>
      </c>
      <c r="Q33" s="139">
        <f>+D28-Q21</f>
        <v>17100</v>
      </c>
      <c r="R33" s="48">
        <f t="shared" ref="R33:V34" si="27">+Q33-R21</f>
        <v>16200</v>
      </c>
      <c r="S33" s="48">
        <f t="shared" si="27"/>
        <v>15300</v>
      </c>
      <c r="T33" s="48">
        <f t="shared" si="27"/>
        <v>14400</v>
      </c>
      <c r="U33" s="48">
        <f t="shared" si="27"/>
        <v>13500</v>
      </c>
      <c r="V33" s="49">
        <f t="shared" si="27"/>
        <v>12600</v>
      </c>
    </row>
    <row r="34" spans="14:32" x14ac:dyDescent="0.2">
      <c r="N34" s="24"/>
      <c r="O34" s="25" t="s">
        <v>95</v>
      </c>
      <c r="P34" s="139">
        <f>+D29</f>
        <v>31400</v>
      </c>
      <c r="Q34" s="139">
        <f>+D29-Q22</f>
        <v>28845.84</v>
      </c>
      <c r="R34" s="48">
        <f t="shared" si="27"/>
        <v>26291.68</v>
      </c>
      <c r="S34" s="48">
        <f t="shared" si="27"/>
        <v>23737.52</v>
      </c>
      <c r="T34" s="48">
        <f t="shared" si="27"/>
        <v>21183.360000000001</v>
      </c>
      <c r="U34" s="48">
        <f t="shared" si="27"/>
        <v>18629.2</v>
      </c>
      <c r="V34" s="49">
        <f t="shared" si="27"/>
        <v>16075.04</v>
      </c>
    </row>
    <row r="35" spans="14:32" x14ac:dyDescent="0.2">
      <c r="N35" s="24"/>
      <c r="O35" s="38" t="s">
        <v>96</v>
      </c>
      <c r="P35" s="51"/>
      <c r="Q35" s="48">
        <f t="shared" ref="Q35:V35" si="28">+Q33*$F$28+Q34*$F$29</f>
        <v>32697.504000000001</v>
      </c>
      <c r="R35" s="48">
        <f t="shared" si="28"/>
        <v>30355.008000000002</v>
      </c>
      <c r="S35" s="48">
        <f t="shared" si="28"/>
        <v>28012.512000000002</v>
      </c>
      <c r="T35" s="48">
        <f t="shared" si="28"/>
        <v>25670.016</v>
      </c>
      <c r="U35" s="48">
        <f t="shared" si="28"/>
        <v>23327.52</v>
      </c>
      <c r="V35" s="49">
        <f t="shared" si="28"/>
        <v>20985.023999999998</v>
      </c>
    </row>
    <row r="36" spans="14:32" ht="13.5" thickBot="1" x14ac:dyDescent="0.25">
      <c r="N36" s="95"/>
      <c r="O36" s="99" t="s">
        <v>97</v>
      </c>
      <c r="P36" s="164"/>
      <c r="Q36" s="153">
        <f t="shared" ref="Q36:V36" si="29">+(Q33-P33)+(Q34-P34)</f>
        <v>-3454.16</v>
      </c>
      <c r="R36" s="153">
        <f t="shared" si="29"/>
        <v>-3454.16</v>
      </c>
      <c r="S36" s="153">
        <f t="shared" si="29"/>
        <v>-3454.16</v>
      </c>
      <c r="T36" s="153">
        <f t="shared" si="29"/>
        <v>-3454.16</v>
      </c>
      <c r="U36" s="153">
        <f t="shared" si="29"/>
        <v>-3454.16</v>
      </c>
      <c r="V36" s="154">
        <f t="shared" si="29"/>
        <v>-3454.16</v>
      </c>
    </row>
    <row r="37" spans="14:32" ht="18.75" thickBot="1" x14ac:dyDescent="0.3">
      <c r="X37" s="19" t="s">
        <v>99</v>
      </c>
      <c r="Y37" s="166"/>
      <c r="Z37" s="167"/>
      <c r="AA37" s="21">
        <f>Q19</f>
        <v>1</v>
      </c>
      <c r="AB37" s="22" t="str">
        <f>R19</f>
        <v>Almonds &amp; Vanilla Cakes, Lekki</v>
      </c>
      <c r="AC37" s="167"/>
      <c r="AD37" s="167"/>
      <c r="AE37" s="167"/>
      <c r="AF37" s="168" t="str">
        <f>$L$2</f>
        <v>1000 NGN</v>
      </c>
    </row>
    <row r="38" spans="14:32" ht="18.75" thickBot="1" x14ac:dyDescent="0.3">
      <c r="N38" s="19" t="s">
        <v>98</v>
      </c>
      <c r="O38" s="106"/>
      <c r="P38" s="165"/>
      <c r="Q38" s="21">
        <f>+$F$2</f>
        <v>1</v>
      </c>
      <c r="R38" s="22" t="str">
        <f>+$G$2</f>
        <v>Almonds &amp; Vanilla Cakes, Lekki</v>
      </c>
      <c r="S38" s="23"/>
      <c r="T38" s="23"/>
      <c r="U38" s="23"/>
      <c r="V38" s="11" t="str">
        <f>$L$2</f>
        <v>1000 NGN</v>
      </c>
      <c r="X38" s="24"/>
      <c r="Y38" s="47"/>
      <c r="Z38" s="171" t="s">
        <v>5</v>
      </c>
      <c r="AA38" s="172">
        <f>Q20</f>
        <v>2015</v>
      </c>
      <c r="AB38" s="172">
        <f>R20</f>
        <v>2016</v>
      </c>
      <c r="AC38" s="172">
        <f>S20</f>
        <v>2017</v>
      </c>
      <c r="AD38" s="172">
        <f>T20</f>
        <v>2018</v>
      </c>
      <c r="AE38" s="172">
        <f>U20</f>
        <v>2019</v>
      </c>
      <c r="AF38" s="173">
        <f>V20</f>
        <v>2020</v>
      </c>
    </row>
    <row r="39" spans="14:32" ht="18" x14ac:dyDescent="0.25">
      <c r="N39" s="169"/>
      <c r="O39" s="25"/>
      <c r="P39" s="170"/>
      <c r="Q39" s="33">
        <f t="shared" ref="Q39:V39" si="30">Q20</f>
        <v>2015</v>
      </c>
      <c r="R39" s="33">
        <f t="shared" si="30"/>
        <v>2016</v>
      </c>
      <c r="S39" s="33">
        <f t="shared" si="30"/>
        <v>2017</v>
      </c>
      <c r="T39" s="33">
        <f t="shared" si="30"/>
        <v>2018</v>
      </c>
      <c r="U39" s="33">
        <f t="shared" si="30"/>
        <v>2019</v>
      </c>
      <c r="V39" s="34">
        <f t="shared" si="30"/>
        <v>2020</v>
      </c>
      <c r="X39" s="24"/>
      <c r="Y39" s="47" t="s">
        <v>101</v>
      </c>
      <c r="Z39" s="47"/>
      <c r="AA39" s="47">
        <f t="shared" ref="AA39:AF39" si="31">Q58</f>
        <v>12602.884284023679</v>
      </c>
      <c r="AB39" s="47">
        <f t="shared" si="31"/>
        <v>18430.473041420129</v>
      </c>
      <c r="AC39" s="47">
        <f t="shared" si="31"/>
        <v>25674.796449704168</v>
      </c>
      <c r="AD39" s="47">
        <f t="shared" si="31"/>
        <v>34300.699739644995</v>
      </c>
      <c r="AE39" s="47">
        <f t="shared" si="31"/>
        <v>44584.49888757398</v>
      </c>
      <c r="AF39" s="130">
        <f t="shared" si="31"/>
        <v>56857.773065088768</v>
      </c>
    </row>
    <row r="40" spans="14:32" x14ac:dyDescent="0.2">
      <c r="N40" s="37" t="s">
        <v>100</v>
      </c>
      <c r="O40" s="25"/>
      <c r="P40" s="25"/>
      <c r="Q40" s="48"/>
      <c r="R40" s="48"/>
      <c r="S40" s="48"/>
      <c r="T40" s="48"/>
      <c r="U40" s="48"/>
      <c r="V40" s="49"/>
      <c r="X40" s="24"/>
      <c r="Y40" s="47" t="s">
        <v>103</v>
      </c>
      <c r="Z40" s="47"/>
      <c r="AA40" s="47">
        <f t="shared" ref="AA40:AF40" si="32">Q23</f>
        <v>3454.16</v>
      </c>
      <c r="AB40" s="47">
        <f t="shared" si="32"/>
        <v>3454.16</v>
      </c>
      <c r="AC40" s="47">
        <f t="shared" si="32"/>
        <v>3454.16</v>
      </c>
      <c r="AD40" s="47">
        <f t="shared" si="32"/>
        <v>3454.16</v>
      </c>
      <c r="AE40" s="47">
        <f t="shared" si="32"/>
        <v>3454.16</v>
      </c>
      <c r="AF40" s="130">
        <f t="shared" si="32"/>
        <v>3454.16</v>
      </c>
    </row>
    <row r="41" spans="14:32" x14ac:dyDescent="0.2">
      <c r="N41" s="24"/>
      <c r="O41" s="38" t="s">
        <v>102</v>
      </c>
      <c r="P41" s="25"/>
      <c r="Q41" s="54">
        <f>-SUM(D4:D9,D14)</f>
        <v>-49927</v>
      </c>
      <c r="R41" s="48"/>
      <c r="S41" s="48"/>
      <c r="T41" s="48"/>
      <c r="U41" s="48"/>
      <c r="V41" s="49"/>
      <c r="X41" s="24"/>
      <c r="Y41" s="47" t="s">
        <v>78</v>
      </c>
      <c r="Z41" s="47"/>
      <c r="AA41" s="47">
        <f t="shared" ref="AA41:AF41" si="33">-Q26</f>
        <v>-1682.1200000000001</v>
      </c>
      <c r="AB41" s="47">
        <f t="shared" si="33"/>
        <v>-1682.1200000000001</v>
      </c>
      <c r="AC41" s="47">
        <f t="shared" si="33"/>
        <v>-1261.5899999999999</v>
      </c>
      <c r="AD41" s="47">
        <f t="shared" si="33"/>
        <v>-841.06000000000006</v>
      </c>
      <c r="AE41" s="47">
        <f t="shared" si="33"/>
        <v>-420.53000000000003</v>
      </c>
      <c r="AF41" s="130">
        <f t="shared" si="33"/>
        <v>0</v>
      </c>
    </row>
    <row r="42" spans="14:32" x14ac:dyDescent="0.2">
      <c r="N42" s="24"/>
      <c r="O42" s="38" t="s">
        <v>104</v>
      </c>
      <c r="P42" s="25"/>
      <c r="Q42" s="54"/>
      <c r="R42" s="48"/>
      <c r="S42" s="48"/>
      <c r="T42" s="48"/>
      <c r="U42" s="48"/>
      <c r="V42" s="49"/>
      <c r="X42" s="24"/>
      <c r="Y42" s="171" t="s">
        <v>106</v>
      </c>
      <c r="Z42" s="58"/>
      <c r="AA42" s="58">
        <f t="shared" ref="AA42:AF42" si="34">SUM(AA39:AA41)</f>
        <v>14374.924284023678</v>
      </c>
      <c r="AB42" s="58">
        <f t="shared" si="34"/>
        <v>20202.51304142013</v>
      </c>
      <c r="AC42" s="58">
        <f t="shared" si="34"/>
        <v>27867.366449704168</v>
      </c>
      <c r="AD42" s="58">
        <f t="shared" si="34"/>
        <v>36913.799739644994</v>
      </c>
      <c r="AE42" s="58">
        <f t="shared" si="34"/>
        <v>47618.128887573985</v>
      </c>
      <c r="AF42" s="174">
        <f t="shared" si="34"/>
        <v>60311.933065088771</v>
      </c>
    </row>
    <row r="43" spans="14:32" x14ac:dyDescent="0.2">
      <c r="N43" s="37"/>
      <c r="O43" s="38" t="s">
        <v>105</v>
      </c>
      <c r="P43" s="25"/>
      <c r="Q43" s="67">
        <f>K7+80%*K8</f>
        <v>48000.289940828399</v>
      </c>
      <c r="R43" s="67">
        <f>K8*20%</f>
        <v>0</v>
      </c>
      <c r="S43" s="48"/>
      <c r="T43" s="48"/>
      <c r="U43" s="48"/>
      <c r="V43" s="49"/>
      <c r="X43" s="24"/>
      <c r="Y43" s="124"/>
      <c r="Z43" s="58"/>
      <c r="AA43" s="175"/>
      <c r="AB43" s="175"/>
      <c r="AC43" s="175"/>
      <c r="AD43" s="175"/>
      <c r="AE43" s="175"/>
      <c r="AF43" s="176"/>
    </row>
    <row r="44" spans="14:32" x14ac:dyDescent="0.2">
      <c r="N44" s="24"/>
      <c r="O44" s="38" t="s">
        <v>107</v>
      </c>
      <c r="P44" s="25"/>
      <c r="Q44" s="48">
        <f>$K$14</f>
        <v>7646</v>
      </c>
      <c r="R44" s="67"/>
      <c r="S44" s="48"/>
      <c r="T44" s="48"/>
      <c r="U44" s="48"/>
      <c r="V44" s="49"/>
      <c r="X44" s="24"/>
      <c r="Y44" s="47" t="s">
        <v>109</v>
      </c>
      <c r="Z44" s="47"/>
      <c r="AA44" s="177">
        <f>Q27</f>
        <v>0</v>
      </c>
      <c r="AB44" s="177">
        <f>R27</f>
        <v>1911.5</v>
      </c>
      <c r="AC44" s="177">
        <f>S27</f>
        <v>1911.5</v>
      </c>
      <c r="AD44" s="177">
        <f>T27</f>
        <v>1911.5</v>
      </c>
      <c r="AE44" s="177">
        <f>U27</f>
        <v>1911.5</v>
      </c>
      <c r="AF44" s="178">
        <f>-V62</f>
        <v>0</v>
      </c>
    </row>
    <row r="45" spans="14:32" x14ac:dyDescent="0.2">
      <c r="N45" s="37" t="s">
        <v>108</v>
      </c>
      <c r="O45" s="25"/>
      <c r="P45" s="25"/>
      <c r="Q45" s="48"/>
      <c r="R45" s="48"/>
      <c r="S45" s="48"/>
      <c r="T45" s="48"/>
      <c r="U45" s="48"/>
      <c r="V45" s="49"/>
      <c r="X45" s="24"/>
      <c r="Y45" s="47" t="s">
        <v>78</v>
      </c>
      <c r="Z45" s="47"/>
      <c r="AA45" s="177">
        <f t="shared" ref="AA45:AF45" si="35">-AA41</f>
        <v>1682.1200000000001</v>
      </c>
      <c r="AB45" s="177">
        <f t="shared" si="35"/>
        <v>1682.1200000000001</v>
      </c>
      <c r="AC45" s="177">
        <f t="shared" si="35"/>
        <v>1261.5899999999999</v>
      </c>
      <c r="AD45" s="177">
        <f t="shared" si="35"/>
        <v>841.06000000000006</v>
      </c>
      <c r="AE45" s="177">
        <f t="shared" si="35"/>
        <v>420.53000000000003</v>
      </c>
      <c r="AF45" s="178">
        <f t="shared" si="35"/>
        <v>0</v>
      </c>
    </row>
    <row r="46" spans="14:32" x14ac:dyDescent="0.2">
      <c r="N46" s="37"/>
      <c r="O46" s="38" t="s">
        <v>110</v>
      </c>
      <c r="P46" s="25"/>
      <c r="Q46" s="48">
        <f t="shared" ref="Q46:V46" si="36">Q15*(1+VAT)</f>
        <v>63000.000000000029</v>
      </c>
      <c r="R46" s="48">
        <f t="shared" si="36"/>
        <v>75600.000000000029</v>
      </c>
      <c r="S46" s="48">
        <f t="shared" si="36"/>
        <v>90720.000000000044</v>
      </c>
      <c r="T46" s="48">
        <f t="shared" si="36"/>
        <v>108864.00000000004</v>
      </c>
      <c r="U46" s="48">
        <f t="shared" si="36"/>
        <v>130636.80000000005</v>
      </c>
      <c r="V46" s="49">
        <f t="shared" si="36"/>
        <v>156764.16000000006</v>
      </c>
      <c r="X46" s="24"/>
      <c r="Y46" s="179" t="s">
        <v>112</v>
      </c>
      <c r="Z46" s="58"/>
      <c r="AA46" s="175">
        <f t="shared" ref="AA46:AF46" si="37">SUM(AA44:AA45)</f>
        <v>1682.1200000000001</v>
      </c>
      <c r="AB46" s="175">
        <f t="shared" si="37"/>
        <v>3593.62</v>
      </c>
      <c r="AC46" s="175">
        <f t="shared" si="37"/>
        <v>3173.09</v>
      </c>
      <c r="AD46" s="175">
        <f t="shared" si="37"/>
        <v>2752.56</v>
      </c>
      <c r="AE46" s="175">
        <f t="shared" si="37"/>
        <v>2332.0300000000002</v>
      </c>
      <c r="AF46" s="176">
        <f t="shared" si="37"/>
        <v>0</v>
      </c>
    </row>
    <row r="47" spans="14:32" x14ac:dyDescent="0.2">
      <c r="N47" s="37"/>
      <c r="O47" s="38" t="s">
        <v>111</v>
      </c>
      <c r="P47" s="25"/>
      <c r="Q47" s="48">
        <f>-Q80</f>
        <v>-121.15384615384622</v>
      </c>
      <c r="R47" s="48">
        <f>-R80+Q80</f>
        <v>-24.230769230769226</v>
      </c>
      <c r="S47" s="48">
        <f>-S80+R80</f>
        <v>-29.076923076923123</v>
      </c>
      <c r="T47" s="48">
        <f>-T80+S80</f>
        <v>-34.892307692307696</v>
      </c>
      <c r="U47" s="48">
        <f>-U80+T80</f>
        <v>-41.870769230769213</v>
      </c>
      <c r="V47" s="49">
        <f>-V80+U80</f>
        <v>-50.244923076923129</v>
      </c>
      <c r="X47" s="24"/>
      <c r="Y47" s="124"/>
      <c r="Z47" s="58"/>
      <c r="AA47" s="175"/>
      <c r="AB47" s="175"/>
      <c r="AC47" s="175"/>
      <c r="AD47" s="175"/>
      <c r="AE47" s="175"/>
      <c r="AF47" s="176"/>
    </row>
    <row r="48" spans="14:32" x14ac:dyDescent="0.2">
      <c r="N48" s="37"/>
      <c r="O48" s="38" t="s">
        <v>113</v>
      </c>
      <c r="P48" s="25"/>
      <c r="Q48" s="48">
        <f t="shared" ref="Q48:V48" si="38">-Q8*(1+VAT)</f>
        <v>-25200.000000000011</v>
      </c>
      <c r="R48" s="48">
        <f t="shared" si="38"/>
        <v>-30240.000000000018</v>
      </c>
      <c r="S48" s="48">
        <f t="shared" si="38"/>
        <v>-36288.000000000022</v>
      </c>
      <c r="T48" s="48">
        <f t="shared" si="38"/>
        <v>-43545.600000000028</v>
      </c>
      <c r="U48" s="48">
        <f t="shared" si="38"/>
        <v>-52254.72000000003</v>
      </c>
      <c r="V48" s="49">
        <f t="shared" si="38"/>
        <v>-62705.664000000033</v>
      </c>
      <c r="X48" s="24"/>
      <c r="Y48" s="180" t="s">
        <v>115</v>
      </c>
      <c r="Z48" s="181">
        <f>AVERAGE(AB48:AF48)</f>
        <v>12.05851740318009</v>
      </c>
      <c r="AA48" s="182">
        <f t="shared" ref="AA48:AE48" si="39">+AA42/AA46</f>
        <v>8.5457186669343912</v>
      </c>
      <c r="AB48" s="182">
        <f t="shared" si="39"/>
        <v>5.6217722078072061</v>
      </c>
      <c r="AC48" s="182">
        <f t="shared" si="39"/>
        <v>8.7824065657463759</v>
      </c>
      <c r="AD48" s="182">
        <f t="shared" si="39"/>
        <v>13.41071574811993</v>
      </c>
      <c r="AE48" s="182">
        <f t="shared" si="39"/>
        <v>20.419175091046849</v>
      </c>
      <c r="AF48" s="183"/>
    </row>
    <row r="49" spans="14:32" ht="13.5" thickBot="1" x14ac:dyDescent="0.25">
      <c r="N49" s="37"/>
      <c r="O49" s="38" t="s">
        <v>114</v>
      </c>
      <c r="P49" s="25"/>
      <c r="Q49" s="48">
        <f>SUM(Q94:Q96)</f>
        <v>33.062130177514803</v>
      </c>
      <c r="R49" s="48">
        <f>SUM(R94:R96)-SUM(Q94:Q96)</f>
        <v>3.7278106508875766</v>
      </c>
      <c r="S49" s="48">
        <f>SUM(S94:S96)-SUM(R94:R96)</f>
        <v>4.4733727810650947</v>
      </c>
      <c r="T49" s="48">
        <f>SUM(T94:T96)-SUM(S94:S96)</f>
        <v>5.3680473372781137</v>
      </c>
      <c r="U49" s="48">
        <f>SUM(U94:U96)-SUM(T94:T96)</f>
        <v>6.441656804733725</v>
      </c>
      <c r="V49" s="49">
        <f>SUM(V94:V96)-SUM(U94:U96)</f>
        <v>7.7299881656804814</v>
      </c>
      <c r="X49" s="95"/>
      <c r="Y49" s="185"/>
      <c r="Z49" s="185"/>
      <c r="AA49" s="185"/>
      <c r="AB49" s="185"/>
      <c r="AC49" s="185"/>
      <c r="AD49" s="185"/>
      <c r="AE49" s="185"/>
      <c r="AF49" s="186"/>
    </row>
    <row r="50" spans="14:32" x14ac:dyDescent="0.2">
      <c r="N50" s="24"/>
      <c r="O50" s="38" t="s">
        <v>116</v>
      </c>
      <c r="P50" s="184">
        <v>0.05</v>
      </c>
      <c r="Q50" s="48">
        <f t="shared" ref="Q50:V50" si="40">-(Q46-Q15)+(-Q48-Q8)</f>
        <v>-1800.0000000000073</v>
      </c>
      <c r="R50" s="48">
        <f t="shared" si="40"/>
        <v>-2159.9999999999964</v>
      </c>
      <c r="S50" s="48">
        <f t="shared" si="40"/>
        <v>-2592</v>
      </c>
      <c r="T50" s="48">
        <f t="shared" si="40"/>
        <v>-3110.3999999999942</v>
      </c>
      <c r="U50" s="48">
        <f t="shared" si="40"/>
        <v>-3732.4799999999959</v>
      </c>
      <c r="V50" s="49">
        <f t="shared" si="40"/>
        <v>-4478.9760000000169</v>
      </c>
    </row>
    <row r="51" spans="14:32" x14ac:dyDescent="0.2">
      <c r="N51" s="37" t="s">
        <v>117</v>
      </c>
      <c r="O51" s="25"/>
      <c r="P51" s="113"/>
      <c r="Q51" s="65">
        <f t="shared" ref="Q51:V51" si="41">SUM(Q46:Q50)</f>
        <v>35911.908284023681</v>
      </c>
      <c r="R51" s="65">
        <f t="shared" si="41"/>
        <v>43179.497041420138</v>
      </c>
      <c r="S51" s="65">
        <f t="shared" si="41"/>
        <v>51815.396449704167</v>
      </c>
      <c r="T51" s="65">
        <f t="shared" si="41"/>
        <v>62178.475739644993</v>
      </c>
      <c r="U51" s="65">
        <f t="shared" si="41"/>
        <v>74614.170887573986</v>
      </c>
      <c r="V51" s="66">
        <f t="shared" si="41"/>
        <v>89537.005065088772</v>
      </c>
    </row>
    <row r="52" spans="14:32" x14ac:dyDescent="0.2">
      <c r="N52" s="37"/>
      <c r="O52" s="38" t="s">
        <v>118</v>
      </c>
      <c r="P52" s="184"/>
      <c r="Q52" s="48">
        <f t="shared" ref="Q52:V52" si="42">-Q23</f>
        <v>-3454.16</v>
      </c>
      <c r="R52" s="48">
        <f t="shared" si="42"/>
        <v>-3454.16</v>
      </c>
      <c r="S52" s="48">
        <f t="shared" si="42"/>
        <v>-3454.16</v>
      </c>
      <c r="T52" s="48">
        <f t="shared" si="42"/>
        <v>-3454.16</v>
      </c>
      <c r="U52" s="48">
        <f t="shared" si="42"/>
        <v>-3454.16</v>
      </c>
      <c r="V52" s="49">
        <f t="shared" si="42"/>
        <v>-3454.16</v>
      </c>
    </row>
    <row r="53" spans="14:32" x14ac:dyDescent="0.2">
      <c r="N53" s="37"/>
      <c r="O53" s="38" t="s">
        <v>119</v>
      </c>
      <c r="P53" s="184"/>
      <c r="Q53" s="48">
        <f t="shared" ref="Q53:V53" si="43">-Q26</f>
        <v>-1682.1200000000001</v>
      </c>
      <c r="R53" s="48">
        <f t="shared" si="43"/>
        <v>-1682.1200000000001</v>
      </c>
      <c r="S53" s="48">
        <f t="shared" si="43"/>
        <v>-1261.5899999999999</v>
      </c>
      <c r="T53" s="48">
        <f t="shared" si="43"/>
        <v>-841.06000000000006</v>
      </c>
      <c r="U53" s="48">
        <f t="shared" si="43"/>
        <v>-420.53000000000003</v>
      </c>
      <c r="V53" s="49">
        <f t="shared" si="43"/>
        <v>0</v>
      </c>
    </row>
    <row r="54" spans="14:32" x14ac:dyDescent="0.2">
      <c r="N54" s="37"/>
      <c r="O54" s="38" t="s">
        <v>120</v>
      </c>
      <c r="P54" s="184"/>
      <c r="Q54" s="48">
        <f t="shared" ref="Q54:V54" si="44">-Q9</f>
        <v>-15000</v>
      </c>
      <c r="R54" s="48">
        <f t="shared" si="44"/>
        <v>-15000</v>
      </c>
      <c r="S54" s="54">
        <f t="shared" si="44"/>
        <v>-15000</v>
      </c>
      <c r="T54" s="48">
        <f t="shared" si="44"/>
        <v>-15000</v>
      </c>
      <c r="U54" s="48">
        <f t="shared" si="44"/>
        <v>-15000</v>
      </c>
      <c r="V54" s="49">
        <f t="shared" si="44"/>
        <v>-15000</v>
      </c>
    </row>
    <row r="55" spans="14:32" x14ac:dyDescent="0.2">
      <c r="N55" s="37" t="s">
        <v>121</v>
      </c>
      <c r="O55" s="25"/>
      <c r="P55" s="113"/>
      <c r="Q55" s="65">
        <f t="shared" ref="Q55:V55" si="45">SUM(Q51:Q54)</f>
        <v>15775.628284023682</v>
      </c>
      <c r="R55" s="65">
        <f t="shared" si="45"/>
        <v>23043.217041420132</v>
      </c>
      <c r="S55" s="65">
        <f t="shared" si="45"/>
        <v>32099.646449704174</v>
      </c>
      <c r="T55" s="65">
        <f t="shared" si="45"/>
        <v>42883.255739644999</v>
      </c>
      <c r="U55" s="65">
        <f t="shared" si="45"/>
        <v>55739.480887573984</v>
      </c>
      <c r="V55" s="66">
        <f t="shared" si="45"/>
        <v>71082.845065088768</v>
      </c>
    </row>
    <row r="56" spans="14:32" x14ac:dyDescent="0.2">
      <c r="N56" s="37"/>
      <c r="O56" s="38" t="s">
        <v>122</v>
      </c>
      <c r="P56" s="146"/>
      <c r="Q56" s="54">
        <f t="shared" ref="Q56:V56" si="46">Q15-Q10+Q52+Q53</f>
        <v>15863.720000000007</v>
      </c>
      <c r="R56" s="54">
        <f t="shared" si="46"/>
        <v>23063.720000000016</v>
      </c>
      <c r="S56" s="54">
        <f t="shared" si="46"/>
        <v>32124.250000000025</v>
      </c>
      <c r="T56" s="54">
        <f t="shared" si="46"/>
        <v>42912.780000000028</v>
      </c>
      <c r="U56" s="54">
        <f t="shared" si="46"/>
        <v>55774.910000000018</v>
      </c>
      <c r="V56" s="55">
        <f t="shared" si="46"/>
        <v>71125.360000000015</v>
      </c>
    </row>
    <row r="57" spans="14:32" x14ac:dyDescent="0.2">
      <c r="N57" s="37"/>
      <c r="O57" s="38" t="s">
        <v>123</v>
      </c>
      <c r="P57" s="187">
        <v>0.2</v>
      </c>
      <c r="Q57" s="48">
        <f t="shared" ref="Q57:V57" si="47">-IF(Q56&gt;0,$P57*(Q56),0)</f>
        <v>-3172.7440000000015</v>
      </c>
      <c r="R57" s="48">
        <f t="shared" si="47"/>
        <v>-4612.7440000000033</v>
      </c>
      <c r="S57" s="48">
        <f t="shared" si="47"/>
        <v>-6424.8500000000058</v>
      </c>
      <c r="T57" s="48">
        <f t="shared" si="47"/>
        <v>-8582.556000000006</v>
      </c>
      <c r="U57" s="48">
        <f t="shared" si="47"/>
        <v>-11154.982000000004</v>
      </c>
      <c r="V57" s="49">
        <f t="shared" si="47"/>
        <v>-14225.072000000004</v>
      </c>
    </row>
    <row r="58" spans="14:32" x14ac:dyDescent="0.2">
      <c r="N58" s="37" t="s">
        <v>124</v>
      </c>
      <c r="O58" s="25"/>
      <c r="P58" s="113"/>
      <c r="Q58" s="65">
        <f t="shared" ref="Q58:V58" si="48">+Q55+Q57</f>
        <v>12602.884284023679</v>
      </c>
      <c r="R58" s="65">
        <f t="shared" si="48"/>
        <v>18430.473041420129</v>
      </c>
      <c r="S58" s="65">
        <f t="shared" si="48"/>
        <v>25674.796449704168</v>
      </c>
      <c r="T58" s="65">
        <f t="shared" si="48"/>
        <v>34300.699739644995</v>
      </c>
      <c r="U58" s="65">
        <f t="shared" si="48"/>
        <v>44584.49888757398</v>
      </c>
      <c r="V58" s="66">
        <f t="shared" si="48"/>
        <v>56857.773065088768</v>
      </c>
    </row>
    <row r="59" spans="14:32" x14ac:dyDescent="0.2">
      <c r="N59" s="24"/>
      <c r="O59" s="25" t="s">
        <v>125</v>
      </c>
      <c r="P59" s="113"/>
      <c r="Q59" s="48">
        <f t="shared" ref="Q59:V59" si="49">-Q52</f>
        <v>3454.16</v>
      </c>
      <c r="R59" s="48">
        <f t="shared" si="49"/>
        <v>3454.16</v>
      </c>
      <c r="S59" s="48">
        <f t="shared" si="49"/>
        <v>3454.16</v>
      </c>
      <c r="T59" s="48">
        <f t="shared" si="49"/>
        <v>3454.16</v>
      </c>
      <c r="U59" s="48">
        <f t="shared" si="49"/>
        <v>3454.16</v>
      </c>
      <c r="V59" s="49">
        <f t="shared" si="49"/>
        <v>3454.16</v>
      </c>
    </row>
    <row r="60" spans="14:32" x14ac:dyDescent="0.2">
      <c r="N60" s="37" t="s">
        <v>126</v>
      </c>
      <c r="O60" s="25"/>
      <c r="P60" s="188"/>
      <c r="Q60" s="65">
        <f t="shared" ref="Q60:V60" si="50">Q58+Q59</f>
        <v>16057.044284023679</v>
      </c>
      <c r="R60" s="65">
        <f t="shared" si="50"/>
        <v>21884.633041420129</v>
      </c>
      <c r="S60" s="65">
        <f t="shared" si="50"/>
        <v>29128.956449704168</v>
      </c>
      <c r="T60" s="65">
        <f t="shared" si="50"/>
        <v>37754.859739644991</v>
      </c>
      <c r="U60" s="65">
        <f t="shared" si="50"/>
        <v>48038.658887573984</v>
      </c>
      <c r="V60" s="66">
        <f t="shared" si="50"/>
        <v>60311.933065088771</v>
      </c>
    </row>
    <row r="61" spans="14:32" x14ac:dyDescent="0.2">
      <c r="N61" s="24"/>
      <c r="O61" s="38" t="s">
        <v>127</v>
      </c>
      <c r="P61" s="188"/>
      <c r="Q61" s="54">
        <f t="shared" ref="Q61:V61" si="51">SUM(Q41:Q44)+P64+Q60</f>
        <v>21776.334224852078</v>
      </c>
      <c r="R61" s="54">
        <f t="shared" si="51"/>
        <v>43660.967266272208</v>
      </c>
      <c r="S61" s="54">
        <f t="shared" si="51"/>
        <v>52427.447715976363</v>
      </c>
      <c r="T61" s="54">
        <f t="shared" si="51"/>
        <v>62571.407455621331</v>
      </c>
      <c r="U61" s="54">
        <f t="shared" si="51"/>
        <v>74368.342343195283</v>
      </c>
      <c r="V61" s="55">
        <f t="shared" si="51"/>
        <v>88148.84740828404</v>
      </c>
    </row>
    <row r="62" spans="14:32" x14ac:dyDescent="0.2">
      <c r="N62" s="24"/>
      <c r="O62" s="25" t="s">
        <v>128</v>
      </c>
      <c r="P62" s="188"/>
      <c r="Q62" s="48">
        <f t="shared" ref="Q62:V62" si="52">-Q27</f>
        <v>0</v>
      </c>
      <c r="R62" s="48">
        <f t="shared" si="52"/>
        <v>-1911.5</v>
      </c>
      <c r="S62" s="48">
        <f t="shared" si="52"/>
        <v>-1911.5</v>
      </c>
      <c r="T62" s="48">
        <f t="shared" si="52"/>
        <v>-1911.5</v>
      </c>
      <c r="U62" s="48">
        <f t="shared" si="52"/>
        <v>-1911.5</v>
      </c>
      <c r="V62" s="49">
        <f t="shared" si="52"/>
        <v>0</v>
      </c>
    </row>
    <row r="63" spans="14:32" x14ac:dyDescent="0.2">
      <c r="N63" s="24"/>
      <c r="O63" s="38" t="s">
        <v>129</v>
      </c>
      <c r="P63" s="184">
        <v>0.8</v>
      </c>
      <c r="Q63" s="48">
        <f t="shared" ref="Q63:V63" si="53">-SUM(Q69:Q70)</f>
        <v>0</v>
      </c>
      <c r="R63" s="48">
        <f t="shared" si="53"/>
        <v>-18450.976000000013</v>
      </c>
      <c r="S63" s="48">
        <f t="shared" si="53"/>
        <v>-25699.400000000023</v>
      </c>
      <c r="T63" s="48">
        <f t="shared" si="53"/>
        <v>-34330.224000000024</v>
      </c>
      <c r="U63" s="48">
        <f t="shared" si="53"/>
        <v>-44619.928000000014</v>
      </c>
      <c r="V63" s="49">
        <f t="shared" si="53"/>
        <v>-56900.288000000022</v>
      </c>
    </row>
    <row r="64" spans="14:32" ht="13.5" thickBot="1" x14ac:dyDescent="0.25">
      <c r="N64" s="189" t="s">
        <v>130</v>
      </c>
      <c r="O64" s="161"/>
      <c r="P64" s="190"/>
      <c r="Q64" s="191">
        <f t="shared" ref="Q64:V64" si="54">Q61+Q62+Q63</f>
        <v>21776.334224852078</v>
      </c>
      <c r="R64" s="192">
        <f t="shared" si="54"/>
        <v>23298.491266272194</v>
      </c>
      <c r="S64" s="192">
        <f t="shared" si="54"/>
        <v>24816.54771597634</v>
      </c>
      <c r="T64" s="192">
        <f t="shared" si="54"/>
        <v>26329.683455621307</v>
      </c>
      <c r="U64" s="192">
        <f t="shared" si="54"/>
        <v>27836.914343195269</v>
      </c>
      <c r="V64" s="193">
        <f t="shared" si="54"/>
        <v>31248.559408284018</v>
      </c>
    </row>
    <row r="65" spans="14:32" x14ac:dyDescent="0.2">
      <c r="N65" s="37" t="s">
        <v>131</v>
      </c>
      <c r="O65" s="25"/>
      <c r="P65" s="194" t="s">
        <v>132</v>
      </c>
      <c r="Q65" s="65"/>
      <c r="R65" s="65"/>
      <c r="S65" s="65"/>
      <c r="T65" s="65"/>
      <c r="U65" s="65"/>
      <c r="V65" s="66"/>
    </row>
    <row r="66" spans="14:32" x14ac:dyDescent="0.2">
      <c r="N66" s="24"/>
      <c r="O66" s="38" t="str">
        <f>CONCATENATE("additional equity"," ",I5)</f>
        <v>additional equity Bakery Family</v>
      </c>
      <c r="P66" s="195">
        <f>+J5</f>
        <v>0.99999395960256166</v>
      </c>
      <c r="Q66" s="48">
        <f>IF($P65="yes",IF(Q$58&lt;0,Q58*$P66,0),0)</f>
        <v>0</v>
      </c>
      <c r="R66" s="48">
        <f>IF($P$65="yes",IF(R$58&lt;0,R58*$P66,0),0)</f>
        <v>0</v>
      </c>
      <c r="S66" s="48">
        <f>IF($P$65="yes",IF(S$58&lt;0,S58*$P66,0),0)</f>
        <v>0</v>
      </c>
      <c r="T66" s="48">
        <f>IF($P$65="yes",IF(T$58&lt;0,T58*$P66,0),0)</f>
        <v>0</v>
      </c>
      <c r="U66" s="48">
        <f>IF($P$65="yes",IF(U$58&lt;0,U58*$P66,0),0)</f>
        <v>0</v>
      </c>
      <c r="V66" s="49">
        <f>IF($P$65="yes",IF(V$58&lt;0,V58*$P66,0),0)</f>
        <v>0</v>
      </c>
    </row>
    <row r="67" spans="14:32" ht="13.5" thickBot="1" x14ac:dyDescent="0.25">
      <c r="N67" s="24"/>
      <c r="O67" s="38" t="str">
        <f>CONCATENATE("additional equity"," ",I6)</f>
        <v>additional equity Other Partners</v>
      </c>
      <c r="P67" s="195">
        <f>+J6</f>
        <v>6.0403974383631231E-6</v>
      </c>
      <c r="Q67" s="48">
        <f t="shared" ref="Q67:V67" si="55">IF($P$65="yes",IF(Q$58&lt;0,Q58*$P67,0),0)</f>
        <v>0</v>
      </c>
      <c r="R67" s="48">
        <f t="shared" si="55"/>
        <v>0</v>
      </c>
      <c r="S67" s="48">
        <f t="shared" si="55"/>
        <v>0</v>
      </c>
      <c r="T67" s="48">
        <f t="shared" si="55"/>
        <v>0</v>
      </c>
      <c r="U67" s="48">
        <f t="shared" si="55"/>
        <v>0</v>
      </c>
      <c r="V67" s="49">
        <f t="shared" si="55"/>
        <v>0</v>
      </c>
    </row>
    <row r="68" spans="14:32" x14ac:dyDescent="0.2">
      <c r="N68" s="29" t="s">
        <v>133</v>
      </c>
      <c r="O68" s="30"/>
      <c r="P68" s="196">
        <v>1</v>
      </c>
      <c r="Q68" s="197">
        <f>Q58+Q62</f>
        <v>12602.884284023679</v>
      </c>
      <c r="R68" s="197">
        <f>Q68+R58+R62</f>
        <v>29121.857325443809</v>
      </c>
      <c r="S68" s="197">
        <f>R68+S58+S62</f>
        <v>52885.153775147977</v>
      </c>
      <c r="T68" s="197">
        <f>S68+T58+T62</f>
        <v>85274.35351479298</v>
      </c>
      <c r="U68" s="197">
        <f>T68+U58+U62</f>
        <v>127947.35240236696</v>
      </c>
      <c r="V68" s="198">
        <f>U68+V58+V62</f>
        <v>184805.12546745571</v>
      </c>
    </row>
    <row r="69" spans="14:32" x14ac:dyDescent="0.2">
      <c r="N69" s="24"/>
      <c r="O69" s="38" t="str">
        <f>CONCATENATE("dividends paid to"," ",I5)</f>
        <v>dividends paid to Bakery Family</v>
      </c>
      <c r="P69" s="195">
        <f>P66</f>
        <v>0.99999395960256166</v>
      </c>
      <c r="Q69" s="48"/>
      <c r="R69" s="48">
        <f t="shared" ref="R69:V70" si="56">$P69*R$56*$P$63</f>
        <v>18450.864548771846</v>
      </c>
      <c r="S69" s="48">
        <f t="shared" si="56"/>
        <v>25699.244765410094</v>
      </c>
      <c r="T69" s="48">
        <f t="shared" si="56"/>
        <v>34330.016631802915</v>
      </c>
      <c r="U69" s="48">
        <f t="shared" si="56"/>
        <v>44619.658477901226</v>
      </c>
      <c r="V69" s="49">
        <f t="shared" si="56"/>
        <v>56899.944299646144</v>
      </c>
    </row>
    <row r="70" spans="14:32" x14ac:dyDescent="0.2">
      <c r="N70" s="37"/>
      <c r="O70" s="38" t="str">
        <f>CONCATENATE("dividends paid to"," ",I6)</f>
        <v>dividends paid to Other Partners</v>
      </c>
      <c r="P70" s="195">
        <f>+P67</f>
        <v>6.0403974383631231E-6</v>
      </c>
      <c r="Q70" s="48"/>
      <c r="R70" s="48">
        <f t="shared" si="56"/>
        <v>0.11145122816569955</v>
      </c>
      <c r="S70" s="48">
        <f t="shared" si="56"/>
        <v>0.15523458992746939</v>
      </c>
      <c r="T70" s="48">
        <f t="shared" si="56"/>
        <v>0.20736819710803234</v>
      </c>
      <c r="U70" s="48">
        <f t="shared" si="56"/>
        <v>0.26952209879114708</v>
      </c>
      <c r="V70" s="49">
        <f t="shared" si="56"/>
        <v>0.34370035387732401</v>
      </c>
    </row>
    <row r="71" spans="14:32" ht="13.5" thickBot="1" x14ac:dyDescent="0.25">
      <c r="N71" s="189" t="s">
        <v>134</v>
      </c>
      <c r="O71" s="161"/>
      <c r="P71" s="190"/>
      <c r="Q71" s="192">
        <f>$Q$43+SUM(Q69:Q70)-SUM($Q27:Q27)</f>
        <v>48000.289940828399</v>
      </c>
      <c r="R71" s="192">
        <f>$Q$43+SUM(R69:R70)-SUM($Q27:R27)</f>
        <v>64539.765940828409</v>
      </c>
      <c r="S71" s="192">
        <f>$Q$43+SUM(S69:S70)-SUM($Q27:S27)</f>
        <v>69876.689940828423</v>
      </c>
      <c r="T71" s="192">
        <f>$Q$43+SUM(T69:T70)-SUM($Q27:T27)</f>
        <v>76596.013940828416</v>
      </c>
      <c r="U71" s="192">
        <f>$Q$43+SUM(U69:U70)-SUM($Q27:U27)</f>
        <v>84974.217940828414</v>
      </c>
      <c r="V71" s="193">
        <f>$Q$43+SUM(V69:V70)-SUM($Q27:V27)</f>
        <v>97254.577940828429</v>
      </c>
    </row>
    <row r="72" spans="14:32" ht="18.75" thickBot="1" x14ac:dyDescent="0.3">
      <c r="Q72" s="1"/>
      <c r="R72" s="1"/>
      <c r="S72" s="1"/>
      <c r="T72" s="1"/>
      <c r="U72" s="1"/>
      <c r="V72" s="1"/>
      <c r="X72" s="19" t="s">
        <v>136</v>
      </c>
      <c r="Y72" s="106"/>
      <c r="Z72" s="165"/>
      <c r="AA72" s="21">
        <f>+F2</f>
        <v>1</v>
      </c>
      <c r="AB72" s="22" t="str">
        <f>+G2</f>
        <v>Almonds &amp; Vanilla Cakes, Lekki</v>
      </c>
      <c r="AC72" s="23"/>
      <c r="AD72" s="23"/>
      <c r="AE72" s="23"/>
      <c r="AF72" s="11" t="str">
        <f>$L$2</f>
        <v>1000 NGN</v>
      </c>
    </row>
    <row r="73" spans="14:32" ht="18.75" thickBot="1" x14ac:dyDescent="0.3">
      <c r="N73" s="19" t="s">
        <v>135</v>
      </c>
      <c r="O73" s="106"/>
      <c r="P73" s="165"/>
      <c r="Q73" s="21"/>
      <c r="R73" s="22" t="str">
        <f>R38</f>
        <v>Almonds &amp; Vanilla Cakes, Lekki</v>
      </c>
      <c r="S73" s="23"/>
      <c r="T73" s="23"/>
      <c r="U73" s="23"/>
      <c r="V73" s="11" t="str">
        <f>V19</f>
        <v>1000 NGN</v>
      </c>
      <c r="X73" s="35"/>
      <c r="Y73" s="30"/>
      <c r="Z73" s="30"/>
      <c r="AA73" s="199">
        <f t="shared" ref="AA73:AF73" si="57">Q3</f>
        <v>2015</v>
      </c>
      <c r="AB73" s="199">
        <f t="shared" si="57"/>
        <v>2016</v>
      </c>
      <c r="AC73" s="199">
        <f t="shared" si="57"/>
        <v>2017</v>
      </c>
      <c r="AD73" s="199">
        <f t="shared" si="57"/>
        <v>2018</v>
      </c>
      <c r="AE73" s="199">
        <f t="shared" si="57"/>
        <v>2019</v>
      </c>
      <c r="AF73" s="200">
        <f t="shared" si="57"/>
        <v>2020</v>
      </c>
    </row>
    <row r="74" spans="14:32" ht="18" x14ac:dyDescent="0.25">
      <c r="N74" s="169"/>
      <c r="O74" s="25"/>
      <c r="P74" s="170"/>
      <c r="Q74" s="33">
        <f t="shared" ref="Q74:V74" si="58">Q$3</f>
        <v>2015</v>
      </c>
      <c r="R74" s="33">
        <f t="shared" si="58"/>
        <v>2016</v>
      </c>
      <c r="S74" s="33">
        <f t="shared" si="58"/>
        <v>2017</v>
      </c>
      <c r="T74" s="33">
        <f t="shared" si="58"/>
        <v>2018</v>
      </c>
      <c r="U74" s="33">
        <f t="shared" si="58"/>
        <v>2019</v>
      </c>
      <c r="V74" s="34">
        <f t="shared" si="58"/>
        <v>2020</v>
      </c>
      <c r="X74" s="37" t="s">
        <v>138</v>
      </c>
      <c r="Y74" s="25"/>
      <c r="Z74" s="25"/>
      <c r="AA74" s="25"/>
      <c r="AB74" s="25"/>
      <c r="AC74" s="25"/>
      <c r="AD74" s="25"/>
      <c r="AE74" s="25"/>
      <c r="AF74" s="28"/>
    </row>
    <row r="75" spans="14:32" x14ac:dyDescent="0.2">
      <c r="N75" s="201" t="s">
        <v>137</v>
      </c>
      <c r="O75" s="38"/>
      <c r="P75" s="38"/>
      <c r="Q75" s="54"/>
      <c r="R75" s="54"/>
      <c r="S75" s="54"/>
      <c r="T75" s="54"/>
      <c r="U75" s="54"/>
      <c r="V75" s="55"/>
      <c r="X75" s="24"/>
      <c r="Y75" s="38" t="s">
        <v>140</v>
      </c>
      <c r="Z75" s="25"/>
      <c r="AA75" s="48">
        <f>-L25</f>
        <v>-48000</v>
      </c>
      <c r="AB75" s="48"/>
      <c r="AC75" s="48"/>
      <c r="AD75" s="48"/>
      <c r="AE75" s="48"/>
      <c r="AF75" s="49"/>
    </row>
    <row r="76" spans="14:32" x14ac:dyDescent="0.2">
      <c r="N76" s="202"/>
      <c r="O76" s="203" t="s">
        <v>139</v>
      </c>
      <c r="P76" s="38"/>
      <c r="Q76" s="54">
        <f>-Q41</f>
        <v>49927</v>
      </c>
      <c r="R76" s="54">
        <f>Q76</f>
        <v>49927</v>
      </c>
      <c r="S76" s="54">
        <f>R76</f>
        <v>49927</v>
      </c>
      <c r="T76" s="54">
        <f>S76</f>
        <v>49927</v>
      </c>
      <c r="U76" s="54">
        <f>T76</f>
        <v>49927</v>
      </c>
      <c r="V76" s="55">
        <f>U76</f>
        <v>49927</v>
      </c>
      <c r="X76" s="24"/>
      <c r="Y76" s="25" t="s">
        <v>142</v>
      </c>
      <c r="Z76" s="25"/>
      <c r="AA76" s="48">
        <f t="shared" ref="AA76:AF76" si="59">-Q66</f>
        <v>0</v>
      </c>
      <c r="AB76" s="48">
        <f t="shared" si="59"/>
        <v>0</v>
      </c>
      <c r="AC76" s="48">
        <f t="shared" si="59"/>
        <v>0</v>
      </c>
      <c r="AD76" s="48">
        <f t="shared" si="59"/>
        <v>0</v>
      </c>
      <c r="AE76" s="48">
        <f t="shared" si="59"/>
        <v>0</v>
      </c>
      <c r="AF76" s="49">
        <f t="shared" si="59"/>
        <v>0</v>
      </c>
    </row>
    <row r="77" spans="14:32" x14ac:dyDescent="0.2">
      <c r="N77" s="202"/>
      <c r="O77" s="204" t="s">
        <v>141</v>
      </c>
      <c r="P77" s="38"/>
      <c r="Q77" s="54">
        <f>Q23</f>
        <v>3454.16</v>
      </c>
      <c r="R77" s="54">
        <f>Q77+R23</f>
        <v>6908.32</v>
      </c>
      <c r="S77" s="54">
        <f>R77+S23</f>
        <v>10362.48</v>
      </c>
      <c r="T77" s="54">
        <f>S77+T23</f>
        <v>13816.64</v>
      </c>
      <c r="U77" s="54">
        <f>T77+U23</f>
        <v>17270.8</v>
      </c>
      <c r="V77" s="55">
        <f>U77+V23</f>
        <v>20724.96</v>
      </c>
      <c r="X77" s="24"/>
      <c r="Y77" s="38" t="s">
        <v>144</v>
      </c>
      <c r="Z77" s="25"/>
      <c r="AA77" s="48">
        <f t="shared" ref="AA77:AF77" si="60">-Q69</f>
        <v>0</v>
      </c>
      <c r="AB77" s="48">
        <f t="shared" si="60"/>
        <v>-18450.864548771846</v>
      </c>
      <c r="AC77" s="48">
        <f t="shared" si="60"/>
        <v>-25699.244765410094</v>
      </c>
      <c r="AD77" s="48">
        <f t="shared" si="60"/>
        <v>-34330.016631802915</v>
      </c>
      <c r="AE77" s="48">
        <f t="shared" si="60"/>
        <v>-44619.658477901226</v>
      </c>
      <c r="AF77" s="49">
        <f t="shared" si="60"/>
        <v>-56899.944299646144</v>
      </c>
    </row>
    <row r="78" spans="14:32" x14ac:dyDescent="0.2">
      <c r="N78" s="205" t="s">
        <v>143</v>
      </c>
      <c r="O78" s="124"/>
      <c r="P78" s="124"/>
      <c r="Q78" s="206">
        <f t="shared" ref="Q78:V78" si="61">Q76-Q77</f>
        <v>46472.84</v>
      </c>
      <c r="R78" s="206">
        <f t="shared" si="61"/>
        <v>43018.68</v>
      </c>
      <c r="S78" s="206">
        <f t="shared" si="61"/>
        <v>39564.520000000004</v>
      </c>
      <c r="T78" s="206">
        <f t="shared" si="61"/>
        <v>36110.36</v>
      </c>
      <c r="U78" s="206">
        <f t="shared" si="61"/>
        <v>32656.2</v>
      </c>
      <c r="V78" s="207">
        <f t="shared" si="61"/>
        <v>29202.04</v>
      </c>
      <c r="X78" s="24"/>
      <c r="Y78" s="41" t="s">
        <v>146</v>
      </c>
      <c r="Z78" s="25"/>
      <c r="AA78" s="65">
        <f>SUM(AA75:AA77)</f>
        <v>-48000</v>
      </c>
      <c r="AB78" s="65">
        <f>+AA78+SUM(AB75:AB77)</f>
        <v>-66450.864548771846</v>
      </c>
      <c r="AC78" s="65">
        <f>+AB78+SUM(AC75:AC77)</f>
        <v>-92150.109314181944</v>
      </c>
      <c r="AD78" s="65">
        <f>+AC78+SUM(AD75:AD77)</f>
        <v>-126480.12594598485</v>
      </c>
      <c r="AE78" s="65">
        <f>+AD78+SUM(AE75:AE77)</f>
        <v>-171099.78442388607</v>
      </c>
      <c r="AF78" s="66">
        <f>+AE78+SUM(AF75:AF77)</f>
        <v>-227999.72872353223</v>
      </c>
    </row>
    <row r="79" spans="14:32" x14ac:dyDescent="0.2">
      <c r="N79" s="202"/>
      <c r="O79" s="208" t="s">
        <v>145</v>
      </c>
      <c r="P79" s="124"/>
      <c r="Q79" s="209">
        <f t="shared" ref="Q79:V79" si="62">Q64</f>
        <v>21776.334224852078</v>
      </c>
      <c r="R79" s="209">
        <f t="shared" si="62"/>
        <v>23298.491266272194</v>
      </c>
      <c r="S79" s="209">
        <f t="shared" si="62"/>
        <v>24816.54771597634</v>
      </c>
      <c r="T79" s="209">
        <f t="shared" si="62"/>
        <v>26329.683455621307</v>
      </c>
      <c r="U79" s="209">
        <f t="shared" si="62"/>
        <v>27836.914343195269</v>
      </c>
      <c r="V79" s="210">
        <f t="shared" si="62"/>
        <v>31248.559408284018</v>
      </c>
      <c r="X79" s="24"/>
      <c r="Y79" s="25" t="s">
        <v>148</v>
      </c>
      <c r="Z79" s="51"/>
      <c r="AA79" s="48">
        <f t="shared" ref="AA79:AF79" si="63">+Q71*$J5</f>
        <v>48000</v>
      </c>
      <c r="AB79" s="48">
        <f t="shared" si="63"/>
        <v>64539.376094991545</v>
      </c>
      <c r="AC79" s="48">
        <f t="shared" si="63"/>
        <v>69876.267857849511</v>
      </c>
      <c r="AD79" s="48">
        <f t="shared" si="63"/>
        <v>76595.55127046202</v>
      </c>
      <c r="AE79" s="48">
        <f t="shared" si="63"/>
        <v>84973.704662780045</v>
      </c>
      <c r="AF79" s="49">
        <f t="shared" si="63"/>
        <v>97253.990484524969</v>
      </c>
    </row>
    <row r="80" spans="14:32" x14ac:dyDescent="0.2">
      <c r="N80" s="202"/>
      <c r="O80" s="208" t="s">
        <v>147</v>
      </c>
      <c r="P80" s="211">
        <v>0.1</v>
      </c>
      <c r="Q80" s="209">
        <f t="shared" ref="Q80:V80" si="64">$P80/52*Q30*Q46</f>
        <v>121.15384615384622</v>
      </c>
      <c r="R80" s="209">
        <f t="shared" si="64"/>
        <v>145.38461538461544</v>
      </c>
      <c r="S80" s="209">
        <f t="shared" si="64"/>
        <v>174.46153846153857</v>
      </c>
      <c r="T80" s="209">
        <f t="shared" si="64"/>
        <v>209.35384615384626</v>
      </c>
      <c r="U80" s="209">
        <f t="shared" si="64"/>
        <v>251.22461538461548</v>
      </c>
      <c r="V80" s="210">
        <f t="shared" si="64"/>
        <v>301.4695384615386</v>
      </c>
      <c r="X80" s="24"/>
      <c r="Y80" s="41" t="s">
        <v>150</v>
      </c>
      <c r="Z80" s="25"/>
      <c r="AA80" s="65">
        <f t="shared" ref="AA80:AF80" si="65">SUM(AA78:AA79)</f>
        <v>0</v>
      </c>
      <c r="AB80" s="65">
        <f t="shared" si="65"/>
        <v>-1911.4884537803009</v>
      </c>
      <c r="AC80" s="65">
        <f t="shared" si="65"/>
        <v>-22273.841456332433</v>
      </c>
      <c r="AD80" s="65">
        <f t="shared" si="65"/>
        <v>-49884.574675522832</v>
      </c>
      <c r="AE80" s="65">
        <f t="shared" si="65"/>
        <v>-86126.079761106026</v>
      </c>
      <c r="AF80" s="66">
        <f t="shared" si="65"/>
        <v>-130745.73823900726</v>
      </c>
    </row>
    <row r="81" spans="4:32" x14ac:dyDescent="0.2">
      <c r="N81" s="202"/>
      <c r="O81" s="208" t="s">
        <v>149</v>
      </c>
      <c r="P81" s="124"/>
      <c r="Q81" s="209"/>
      <c r="R81" s="209"/>
      <c r="S81" s="209"/>
      <c r="T81" s="209"/>
      <c r="U81" s="209"/>
      <c r="V81" s="210"/>
      <c r="X81" s="24"/>
      <c r="Y81" s="25"/>
      <c r="Z81" s="25"/>
      <c r="AA81" s="25"/>
      <c r="AB81" s="25"/>
      <c r="AC81" s="25"/>
      <c r="AD81" s="25"/>
      <c r="AE81" s="25"/>
      <c r="AF81" s="28"/>
    </row>
    <row r="82" spans="4:32" x14ac:dyDescent="0.2">
      <c r="N82" s="202"/>
      <c r="O82" s="208" t="s">
        <v>151</v>
      </c>
      <c r="P82" s="53"/>
      <c r="Q82" s="209"/>
      <c r="R82" s="209"/>
      <c r="S82" s="209"/>
      <c r="T82" s="209"/>
      <c r="U82" s="209"/>
      <c r="V82" s="210"/>
      <c r="X82" s="37" t="s">
        <v>153</v>
      </c>
      <c r="Y82" s="25"/>
      <c r="Z82" s="25"/>
      <c r="AA82" s="25"/>
      <c r="AB82" s="25"/>
      <c r="AC82" s="25"/>
      <c r="AD82" s="25"/>
      <c r="AE82" s="25"/>
      <c r="AF82" s="28"/>
    </row>
    <row r="83" spans="4:32" x14ac:dyDescent="0.2">
      <c r="D83" s="1"/>
      <c r="E83" s="1"/>
      <c r="N83" s="202"/>
      <c r="O83" s="208" t="s">
        <v>152</v>
      </c>
      <c r="P83" s="124"/>
      <c r="Q83" s="209"/>
      <c r="R83" s="209"/>
      <c r="S83" s="209"/>
      <c r="T83" s="209"/>
      <c r="U83" s="209"/>
      <c r="V83" s="210"/>
      <c r="X83" s="24"/>
      <c r="Y83" s="38" t="s">
        <v>140</v>
      </c>
      <c r="Z83" s="25"/>
      <c r="AA83" s="48">
        <f>-G25</f>
        <v>-0.28994082839926705</v>
      </c>
      <c r="AB83" s="48"/>
      <c r="AC83" s="48"/>
      <c r="AD83" s="48"/>
      <c r="AE83" s="48"/>
      <c r="AF83" s="49"/>
    </row>
    <row r="84" spans="4:32" x14ac:dyDescent="0.2">
      <c r="D84" s="1"/>
      <c r="E84" s="1"/>
      <c r="N84" s="202"/>
      <c r="O84" s="208" t="s">
        <v>154</v>
      </c>
      <c r="P84" s="124"/>
      <c r="Q84" s="209"/>
      <c r="R84" s="209"/>
      <c r="S84" s="209"/>
      <c r="T84" s="209"/>
      <c r="U84" s="209"/>
      <c r="V84" s="210"/>
      <c r="X84" s="24"/>
      <c r="Y84" s="25" t="s">
        <v>142</v>
      </c>
      <c r="Z84" s="25"/>
      <c r="AA84" s="48">
        <f t="shared" ref="AA84:AF84" si="66">-Q67</f>
        <v>0</v>
      </c>
      <c r="AB84" s="48">
        <f t="shared" si="66"/>
        <v>0</v>
      </c>
      <c r="AC84" s="48">
        <f t="shared" si="66"/>
        <v>0</v>
      </c>
      <c r="AD84" s="48">
        <f t="shared" si="66"/>
        <v>0</v>
      </c>
      <c r="AE84" s="48">
        <f t="shared" si="66"/>
        <v>0</v>
      </c>
      <c r="AF84" s="49">
        <f t="shared" si="66"/>
        <v>0</v>
      </c>
    </row>
    <row r="85" spans="4:32" x14ac:dyDescent="0.2">
      <c r="D85" s="1"/>
      <c r="E85" s="1"/>
      <c r="N85" s="205" t="s">
        <v>155</v>
      </c>
      <c r="O85" s="124"/>
      <c r="P85" s="124"/>
      <c r="Q85" s="206">
        <f t="shared" ref="Q85:V85" si="67">SUM(Q79:Q84)</f>
        <v>21897.488071005926</v>
      </c>
      <c r="R85" s="206">
        <f t="shared" si="67"/>
        <v>23443.875881656812</v>
      </c>
      <c r="S85" s="206">
        <f t="shared" si="67"/>
        <v>24991.009254437879</v>
      </c>
      <c r="T85" s="206">
        <f t="shared" si="67"/>
        <v>26539.037301775152</v>
      </c>
      <c r="U85" s="206">
        <f t="shared" si="67"/>
        <v>28088.138958579886</v>
      </c>
      <c r="V85" s="207">
        <f t="shared" si="67"/>
        <v>31550.028946745555</v>
      </c>
      <c r="X85" s="24"/>
      <c r="Y85" s="38" t="s">
        <v>144</v>
      </c>
      <c r="Z85" s="25"/>
      <c r="AA85" s="48">
        <f t="shared" ref="AA85:AF85" si="68">-Q70</f>
        <v>0</v>
      </c>
      <c r="AB85" s="48">
        <f t="shared" si="68"/>
        <v>-0.11145122816569955</v>
      </c>
      <c r="AC85" s="48">
        <f t="shared" si="68"/>
        <v>-0.15523458992746939</v>
      </c>
      <c r="AD85" s="48">
        <f t="shared" si="68"/>
        <v>-0.20736819710803234</v>
      </c>
      <c r="AE85" s="48">
        <f t="shared" si="68"/>
        <v>-0.26952209879114708</v>
      </c>
      <c r="AF85" s="49">
        <f t="shared" si="68"/>
        <v>-0.34370035387732401</v>
      </c>
    </row>
    <row r="86" spans="4:32" ht="13.5" thickBot="1" x14ac:dyDescent="0.25">
      <c r="D86" s="1"/>
      <c r="E86" s="1"/>
      <c r="N86" s="212" t="s">
        <v>156</v>
      </c>
      <c r="O86" s="213"/>
      <c r="P86" s="213"/>
      <c r="Q86" s="214">
        <f t="shared" ref="Q86:V86" si="69">Q78+Q85</f>
        <v>68370.328071005919</v>
      </c>
      <c r="R86" s="214">
        <f t="shared" si="69"/>
        <v>66462.555881656808</v>
      </c>
      <c r="S86" s="214">
        <f t="shared" si="69"/>
        <v>64555.529254437883</v>
      </c>
      <c r="T86" s="214">
        <f t="shared" si="69"/>
        <v>62649.397301775156</v>
      </c>
      <c r="U86" s="214">
        <f t="shared" si="69"/>
        <v>60744.338958579887</v>
      </c>
      <c r="V86" s="215">
        <f t="shared" si="69"/>
        <v>60752.068946745552</v>
      </c>
      <c r="X86" s="24"/>
      <c r="Y86" s="25" t="s">
        <v>157</v>
      </c>
      <c r="Z86" s="25"/>
      <c r="AA86" s="217">
        <f t="shared" ref="AA86:AF86" si="70">-Q54*$F$23</f>
        <v>0</v>
      </c>
      <c r="AB86" s="217">
        <f t="shared" si="70"/>
        <v>0</v>
      </c>
      <c r="AC86" s="217">
        <f t="shared" si="70"/>
        <v>0</v>
      </c>
      <c r="AD86" s="217">
        <f t="shared" si="70"/>
        <v>0</v>
      </c>
      <c r="AE86" s="217">
        <f t="shared" si="70"/>
        <v>0</v>
      </c>
      <c r="AF86" s="218">
        <f t="shared" si="70"/>
        <v>0</v>
      </c>
    </row>
    <row r="87" spans="4:32" ht="13.5" thickTop="1" x14ac:dyDescent="0.2">
      <c r="D87" s="1"/>
      <c r="E87" s="1"/>
      <c r="N87" s="216"/>
      <c r="O87" s="124"/>
      <c r="P87" s="124"/>
      <c r="Q87" s="209"/>
      <c r="R87" s="209"/>
      <c r="S87" s="209"/>
      <c r="T87" s="209"/>
      <c r="U87" s="209"/>
      <c r="V87" s="210"/>
      <c r="X87" s="24"/>
      <c r="Y87" s="41" t="s">
        <v>146</v>
      </c>
      <c r="Z87" s="25"/>
      <c r="AA87" s="65">
        <f>SUM(AA83:AA86)</f>
        <v>-0.28994082839926705</v>
      </c>
      <c r="AB87" s="65">
        <f>+AA87+SUM(AB83:AB86)</f>
        <v>-0.40139205656496657</v>
      </c>
      <c r="AC87" s="65">
        <f>+AB87+SUM(AC83:AC86)</f>
        <v>-0.55662664649243598</v>
      </c>
      <c r="AD87" s="65">
        <f>+AC87+SUM(AD83:AD86)</f>
        <v>-0.76399484360046832</v>
      </c>
      <c r="AE87" s="65">
        <f>+AD87+SUM(AE83:AE86)</f>
        <v>-1.0335169423916155</v>
      </c>
      <c r="AF87" s="66">
        <f>+AE87+SUM(AF83:AF86)</f>
        <v>-1.3772172962689395</v>
      </c>
    </row>
    <row r="88" spans="4:32" x14ac:dyDescent="0.2">
      <c r="D88" s="1"/>
      <c r="E88" s="1"/>
      <c r="N88" s="219" t="s">
        <v>158</v>
      </c>
      <c r="O88" s="124"/>
      <c r="P88" s="124"/>
      <c r="Q88" s="209"/>
      <c r="R88" s="209"/>
      <c r="S88" s="209"/>
      <c r="T88" s="209"/>
      <c r="U88" s="209"/>
      <c r="V88" s="210"/>
      <c r="X88" s="24"/>
      <c r="Y88" s="25" t="s">
        <v>148</v>
      </c>
      <c r="Z88" s="51"/>
      <c r="AA88" s="48">
        <f t="shared" ref="AA88:AF88" si="71">+Q$71*$J6</f>
        <v>0.28994082839926705</v>
      </c>
      <c r="AB88" s="48">
        <f t="shared" si="71"/>
        <v>0.38984583686153546</v>
      </c>
      <c r="AC88" s="48">
        <f t="shared" si="71"/>
        <v>0.42208297891987423</v>
      </c>
      <c r="AD88" s="48">
        <f t="shared" si="71"/>
        <v>0.46267036639700604</v>
      </c>
      <c r="AE88" s="48">
        <f t="shared" si="71"/>
        <v>0.51327804837668967</v>
      </c>
      <c r="AF88" s="49">
        <f t="shared" si="71"/>
        <v>0.5874563034628667</v>
      </c>
    </row>
    <row r="89" spans="4:32" ht="13.5" thickBot="1" x14ac:dyDescent="0.25">
      <c r="N89" s="202"/>
      <c r="O89" s="208" t="s">
        <v>159</v>
      </c>
      <c r="P89" s="124"/>
      <c r="Q89" s="209">
        <f>Q43</f>
        <v>48000.289940828399</v>
      </c>
      <c r="R89" s="209">
        <f>Q89+R43</f>
        <v>48000.289940828399</v>
      </c>
      <c r="S89" s="209">
        <f>R89+S43</f>
        <v>48000.289940828399</v>
      </c>
      <c r="T89" s="209">
        <f>S89+T43</f>
        <v>48000.289940828399</v>
      </c>
      <c r="U89" s="209">
        <f>T89+U43</f>
        <v>48000.289940828399</v>
      </c>
      <c r="V89" s="210">
        <f>U89</f>
        <v>48000.289940828399</v>
      </c>
      <c r="X89" s="95"/>
      <c r="Y89" s="159" t="s">
        <v>150</v>
      </c>
      <c r="Z89" s="161"/>
      <c r="AA89" s="192">
        <f t="shared" ref="AA89:AF89" si="72">SUM(AA87:AA88)</f>
        <v>0</v>
      </c>
      <c r="AB89" s="192">
        <f t="shared" si="72"/>
        <v>-1.1546219703431115E-2</v>
      </c>
      <c r="AC89" s="192">
        <f t="shared" si="72"/>
        <v>-0.13454366757256175</v>
      </c>
      <c r="AD89" s="192">
        <f t="shared" si="72"/>
        <v>-0.30132447720346228</v>
      </c>
      <c r="AE89" s="192">
        <f t="shared" si="72"/>
        <v>-0.52023889401492585</v>
      </c>
      <c r="AF89" s="193">
        <f t="shared" si="72"/>
        <v>-0.78976099280607281</v>
      </c>
    </row>
    <row r="90" spans="4:32" x14ac:dyDescent="0.2">
      <c r="N90" s="202"/>
      <c r="O90" s="208" t="s">
        <v>160</v>
      </c>
      <c r="P90" s="124"/>
      <c r="Q90" s="209">
        <f>Q56+Q57+Q63</f>
        <v>12690.976000000006</v>
      </c>
      <c r="R90" s="209">
        <f>Q90+R56+R57+R63</f>
        <v>12690.97600000001</v>
      </c>
      <c r="S90" s="209">
        <f>R90+S56+S57+S63</f>
        <v>12690.97600000001</v>
      </c>
      <c r="T90" s="209">
        <f>S90+T56+T57+T63</f>
        <v>12690.97600000001</v>
      </c>
      <c r="U90" s="209">
        <f>T90+U56+U57+U63</f>
        <v>12690.97600000001</v>
      </c>
      <c r="V90" s="210">
        <f>U90+V56+V57+V63</f>
        <v>12690.976000000002</v>
      </c>
      <c r="X90" s="24"/>
      <c r="Y90" s="25"/>
      <c r="Z90" s="25"/>
      <c r="AA90" s="25"/>
      <c r="AB90" s="25"/>
      <c r="AC90" s="25"/>
      <c r="AD90" s="25"/>
      <c r="AE90" s="25"/>
      <c r="AF90" s="28"/>
    </row>
    <row r="91" spans="4:32" x14ac:dyDescent="0.2">
      <c r="N91" s="205" t="s">
        <v>161</v>
      </c>
      <c r="O91" s="124"/>
      <c r="P91" s="124"/>
      <c r="Q91" s="206">
        <f t="shared" ref="Q91:V91" si="73">SUM(Q89:Q90)</f>
        <v>60691.265940828409</v>
      </c>
      <c r="R91" s="206">
        <f t="shared" si="73"/>
        <v>60691.265940828409</v>
      </c>
      <c r="S91" s="206">
        <f t="shared" si="73"/>
        <v>60691.265940828409</v>
      </c>
      <c r="T91" s="206">
        <f t="shared" si="73"/>
        <v>60691.265940828409</v>
      </c>
      <c r="U91" s="206">
        <f t="shared" si="73"/>
        <v>60691.265940828409</v>
      </c>
      <c r="V91" s="207">
        <f t="shared" si="73"/>
        <v>60691.265940828402</v>
      </c>
      <c r="X91" s="37" t="s">
        <v>163</v>
      </c>
      <c r="Y91" s="25"/>
      <c r="Z91" s="25"/>
      <c r="AA91" s="25"/>
      <c r="AB91" s="25"/>
      <c r="AC91" s="25"/>
      <c r="AD91" s="25"/>
      <c r="AE91" s="25"/>
      <c r="AF91" s="28"/>
    </row>
    <row r="92" spans="4:32" x14ac:dyDescent="0.2">
      <c r="N92" s="202"/>
      <c r="O92" s="208" t="s">
        <v>162</v>
      </c>
      <c r="P92" s="38"/>
      <c r="Q92" s="209">
        <f t="shared" ref="Q92:V92" si="74">Q28</f>
        <v>7646</v>
      </c>
      <c r="R92" s="209">
        <f t="shared" si="74"/>
        <v>5734.5</v>
      </c>
      <c r="S92" s="209">
        <f t="shared" si="74"/>
        <v>3823</v>
      </c>
      <c r="T92" s="209">
        <f t="shared" si="74"/>
        <v>1911.5</v>
      </c>
      <c r="U92" s="209">
        <f t="shared" si="74"/>
        <v>0</v>
      </c>
      <c r="V92" s="210">
        <f t="shared" si="74"/>
        <v>0</v>
      </c>
      <c r="X92" s="24"/>
      <c r="Y92" s="25" t="s">
        <v>165</v>
      </c>
      <c r="Z92" s="25"/>
      <c r="AA92" s="48">
        <f>-G32</f>
        <v>27394</v>
      </c>
      <c r="AB92" s="48"/>
      <c r="AC92" s="48"/>
      <c r="AD92" s="48"/>
      <c r="AE92" s="48"/>
      <c r="AF92" s="49"/>
    </row>
    <row r="93" spans="4:32" x14ac:dyDescent="0.2">
      <c r="N93" s="205" t="s">
        <v>164</v>
      </c>
      <c r="O93" s="124"/>
      <c r="P93" s="124"/>
      <c r="Q93" s="206">
        <f t="shared" ref="Q93:V93" si="75">Q92</f>
        <v>7646</v>
      </c>
      <c r="R93" s="206">
        <f t="shared" si="75"/>
        <v>5734.5</v>
      </c>
      <c r="S93" s="206">
        <f t="shared" si="75"/>
        <v>3823</v>
      </c>
      <c r="T93" s="206">
        <f t="shared" si="75"/>
        <v>1911.5</v>
      </c>
      <c r="U93" s="206">
        <f t="shared" si="75"/>
        <v>0</v>
      </c>
      <c r="V93" s="207">
        <f t="shared" si="75"/>
        <v>0</v>
      </c>
      <c r="X93" s="24"/>
      <c r="Y93" s="25" t="s">
        <v>167</v>
      </c>
      <c r="Z93" s="25"/>
      <c r="AA93" s="48">
        <f t="shared" ref="AA93:AF93" si="76">-Q26-Q27</f>
        <v>-1682.1200000000001</v>
      </c>
      <c r="AB93" s="48">
        <f t="shared" si="76"/>
        <v>-3593.62</v>
      </c>
      <c r="AC93" s="48">
        <f t="shared" si="76"/>
        <v>-3173.09</v>
      </c>
      <c r="AD93" s="48">
        <f t="shared" si="76"/>
        <v>-2752.56</v>
      </c>
      <c r="AE93" s="48">
        <f t="shared" si="76"/>
        <v>-2332.0300000000002</v>
      </c>
      <c r="AF93" s="49">
        <f t="shared" si="76"/>
        <v>0</v>
      </c>
    </row>
    <row r="94" spans="4:32" x14ac:dyDescent="0.2">
      <c r="N94" s="202"/>
      <c r="O94" s="208" t="s">
        <v>166</v>
      </c>
      <c r="P94" s="211">
        <f>2/52</f>
        <v>3.8461538461538464E-2</v>
      </c>
      <c r="Q94" s="209">
        <f t="shared" ref="Q94:V94" si="77">-$P94/52*Q30*Q48</f>
        <v>18.639053254437879</v>
      </c>
      <c r="R94" s="209">
        <f t="shared" si="77"/>
        <v>22.366863905325459</v>
      </c>
      <c r="S94" s="209">
        <f t="shared" si="77"/>
        <v>26.840236686390551</v>
      </c>
      <c r="T94" s="209">
        <f t="shared" si="77"/>
        <v>32.208284023668661</v>
      </c>
      <c r="U94" s="209">
        <f t="shared" si="77"/>
        <v>38.649940828402393</v>
      </c>
      <c r="V94" s="210">
        <f t="shared" si="77"/>
        <v>46.379928994082867</v>
      </c>
      <c r="X94" s="24"/>
      <c r="Y94" s="25" t="s">
        <v>169</v>
      </c>
      <c r="Z94" s="25"/>
      <c r="AA94" s="48">
        <f t="shared" ref="AA94:AF94" si="78">+Q36</f>
        <v>-3454.16</v>
      </c>
      <c r="AB94" s="48">
        <f t="shared" si="78"/>
        <v>-3454.16</v>
      </c>
      <c r="AC94" s="48">
        <f t="shared" si="78"/>
        <v>-3454.16</v>
      </c>
      <c r="AD94" s="48">
        <f t="shared" si="78"/>
        <v>-3454.16</v>
      </c>
      <c r="AE94" s="48">
        <f t="shared" si="78"/>
        <v>-3454.16</v>
      </c>
      <c r="AF94" s="49">
        <f t="shared" si="78"/>
        <v>-3454.16</v>
      </c>
    </row>
    <row r="95" spans="4:32" ht="13.5" thickBot="1" x14ac:dyDescent="0.25">
      <c r="N95" s="202"/>
      <c r="O95" s="208" t="s">
        <v>168</v>
      </c>
      <c r="P95" s="211">
        <v>0.05</v>
      </c>
      <c r="Q95" s="209">
        <f t="shared" ref="Q95:V95" si="79">-$P95/52*Q30*Q54</f>
        <v>14.423076923076923</v>
      </c>
      <c r="R95" s="209">
        <f t="shared" si="79"/>
        <v>14.423076923076923</v>
      </c>
      <c r="S95" s="209">
        <f t="shared" si="79"/>
        <v>14.423076923076923</v>
      </c>
      <c r="T95" s="209">
        <f t="shared" si="79"/>
        <v>14.423076923076923</v>
      </c>
      <c r="U95" s="209">
        <f t="shared" si="79"/>
        <v>14.423076923076923</v>
      </c>
      <c r="V95" s="210">
        <f t="shared" si="79"/>
        <v>14.423076923076923</v>
      </c>
      <c r="X95" s="95"/>
      <c r="Y95" s="159" t="s">
        <v>171</v>
      </c>
      <c r="Z95" s="161"/>
      <c r="AA95" s="192">
        <f>SUM(AA92:AA94)</f>
        <v>22257.72</v>
      </c>
      <c r="AB95" s="192">
        <f>+AA95+SUM(AB92:AB94)</f>
        <v>15209.940000000002</v>
      </c>
      <c r="AC95" s="192">
        <f>+AB95+SUM(AC92:AC94)</f>
        <v>8582.6900000000023</v>
      </c>
      <c r="AD95" s="192">
        <f>+AC95+SUM(AD92:AD94)</f>
        <v>2375.970000000003</v>
      </c>
      <c r="AE95" s="192">
        <f>+AD95+SUM(AE92:AE94)</f>
        <v>-3410.2199999999975</v>
      </c>
      <c r="AF95" s="193">
        <f>+AE95+SUM(AF92:AF94)</f>
        <v>-6864.3799999999974</v>
      </c>
    </row>
    <row r="96" spans="4:32" x14ac:dyDescent="0.2">
      <c r="N96" s="202"/>
      <c r="O96" s="208" t="s">
        <v>170</v>
      </c>
      <c r="P96" s="124"/>
      <c r="Q96" s="209"/>
      <c r="R96" s="209"/>
      <c r="S96" s="209"/>
      <c r="T96" s="209"/>
      <c r="U96" s="209"/>
      <c r="V96" s="210"/>
    </row>
    <row r="97" spans="3:22" x14ac:dyDescent="0.2">
      <c r="N97" s="202"/>
      <c r="O97" s="208" t="s">
        <v>172</v>
      </c>
      <c r="P97" s="124"/>
      <c r="Q97" s="48"/>
      <c r="R97" s="48"/>
      <c r="S97" s="48"/>
      <c r="T97" s="48"/>
      <c r="U97" s="48"/>
      <c r="V97" s="49"/>
    </row>
    <row r="98" spans="3:22" x14ac:dyDescent="0.2">
      <c r="N98" s="202"/>
      <c r="O98" s="208" t="s">
        <v>173</v>
      </c>
      <c r="P98" s="38"/>
      <c r="Q98" s="209"/>
      <c r="R98" s="209"/>
      <c r="S98" s="209"/>
      <c r="T98" s="209"/>
      <c r="U98" s="209"/>
      <c r="V98" s="210"/>
    </row>
    <row r="99" spans="3:22" x14ac:dyDescent="0.2">
      <c r="N99" s="205" t="s">
        <v>174</v>
      </c>
      <c r="O99" s="38"/>
      <c r="P99" s="38"/>
      <c r="Q99" s="206">
        <f t="shared" ref="Q99:V99" si="80">SUM(Q94:Q98)</f>
        <v>33.062130177514803</v>
      </c>
      <c r="R99" s="206">
        <f t="shared" si="80"/>
        <v>36.789940828402379</v>
      </c>
      <c r="S99" s="206">
        <f t="shared" si="80"/>
        <v>41.263313609467474</v>
      </c>
      <c r="T99" s="206">
        <f t="shared" si="80"/>
        <v>46.631360946745588</v>
      </c>
      <c r="U99" s="206">
        <f t="shared" si="80"/>
        <v>53.073017751479313</v>
      </c>
      <c r="V99" s="207">
        <f t="shared" si="80"/>
        <v>60.803005917159794</v>
      </c>
    </row>
    <row r="100" spans="3:22" ht="13.5" thickBot="1" x14ac:dyDescent="0.25">
      <c r="N100" s="212" t="s">
        <v>175</v>
      </c>
      <c r="O100" s="220"/>
      <c r="P100" s="220"/>
      <c r="Q100" s="214">
        <f t="shared" ref="Q100:V100" si="81">Q91+Q93+Q99</f>
        <v>68370.328071005919</v>
      </c>
      <c r="R100" s="214">
        <f t="shared" si="81"/>
        <v>66462.555881656808</v>
      </c>
      <c r="S100" s="214">
        <f t="shared" si="81"/>
        <v>64555.529254437875</v>
      </c>
      <c r="T100" s="214">
        <f t="shared" si="81"/>
        <v>62649.397301775156</v>
      </c>
      <c r="U100" s="214">
        <f t="shared" si="81"/>
        <v>60744.338958579887</v>
      </c>
      <c r="V100" s="215">
        <f t="shared" si="81"/>
        <v>60752.06894674556</v>
      </c>
    </row>
    <row r="101" spans="3:22" ht="13.5" thickTop="1" x14ac:dyDescent="0.2">
      <c r="N101" s="216"/>
      <c r="O101" s="38"/>
      <c r="P101" s="38"/>
      <c r="Q101" s="124"/>
      <c r="R101" s="124"/>
      <c r="S101" s="124"/>
      <c r="T101" s="124"/>
      <c r="U101" s="124"/>
      <c r="V101" s="221"/>
    </row>
    <row r="102" spans="3:22" ht="13.5" thickBot="1" x14ac:dyDescent="0.25">
      <c r="N102" s="222" t="s">
        <v>176</v>
      </c>
      <c r="O102" s="223"/>
      <c r="P102" s="223"/>
      <c r="Q102" s="224">
        <f t="shared" ref="Q102:V102" si="82">Q86-Q100</f>
        <v>0</v>
      </c>
      <c r="R102" s="224">
        <f t="shared" si="82"/>
        <v>0</v>
      </c>
      <c r="S102" s="224">
        <f t="shared" si="82"/>
        <v>0</v>
      </c>
      <c r="T102" s="224">
        <f t="shared" si="82"/>
        <v>0</v>
      </c>
      <c r="U102" s="224">
        <f t="shared" si="82"/>
        <v>0</v>
      </c>
      <c r="V102" s="225">
        <f t="shared" si="82"/>
        <v>0</v>
      </c>
    </row>
    <row r="108" spans="3:22" x14ac:dyDescent="0.2">
      <c r="C108" s="226"/>
    </row>
  </sheetData>
  <conditionalFormatting sqref="L14">
    <cfRule type="cellIs" dxfId="17" priority="16" stopIfTrue="1" operator="greaterThan">
      <formula>0.75</formula>
    </cfRule>
    <cfRule type="cellIs" dxfId="16" priority="17" stopIfTrue="1" operator="between">
      <formula>0.4</formula>
      <formula>0.75</formula>
    </cfRule>
    <cfRule type="cellIs" dxfId="15" priority="18" stopIfTrue="1" operator="lessThanOrEqual">
      <formula>0.4</formula>
    </cfRule>
  </conditionalFormatting>
  <conditionalFormatting sqref="I30">
    <cfRule type="cellIs" dxfId="14" priority="13" stopIfTrue="1" operator="lessThan">
      <formula>1</formula>
    </cfRule>
    <cfRule type="cellIs" dxfId="13" priority="14" stopIfTrue="1" operator="between">
      <formula>1</formula>
      <formula>1.3</formula>
    </cfRule>
    <cfRule type="cellIs" dxfId="12" priority="15" stopIfTrue="1" operator="greaterThanOrEqual">
      <formula>1.3</formula>
    </cfRule>
  </conditionalFormatting>
  <conditionalFormatting sqref="AC28">
    <cfRule type="cellIs" dxfId="11" priority="10" stopIfTrue="1" operator="lessThanOrEqual">
      <formula>2</formula>
    </cfRule>
    <cfRule type="cellIs" dxfId="10" priority="11" stopIfTrue="1" operator="between">
      <formula>2</formula>
      <formula>4</formula>
    </cfRule>
    <cfRule type="cellIs" dxfId="9" priority="12" stopIfTrue="1" operator="greaterThanOrEqual">
      <formula>5</formula>
    </cfRule>
  </conditionalFormatting>
  <conditionalFormatting sqref="AB28">
    <cfRule type="expression" dxfId="8" priority="7" stopIfTrue="1">
      <formula>$AB$10&lt;$Z$7</formula>
    </cfRule>
    <cfRule type="cellIs" dxfId="7" priority="8" stopIfTrue="1" operator="between">
      <formula>$Z$7</formula>
      <formula>$Z$7*2</formula>
    </cfRule>
    <cfRule type="expression" dxfId="6" priority="9" stopIfTrue="1">
      <formula>$AB$10&gt;$Z$7*2</formula>
    </cfRule>
  </conditionalFormatting>
  <conditionalFormatting sqref="AA48:AF48">
    <cfRule type="cellIs" dxfId="5" priority="4" stopIfTrue="1" operator="lessThan">
      <formula>1</formula>
    </cfRule>
    <cfRule type="cellIs" dxfId="4" priority="5" stopIfTrue="1" operator="between">
      <formula>1</formula>
      <formula>2</formula>
    </cfRule>
    <cfRule type="cellIs" dxfId="3" priority="6" stopIfTrue="1" operator="greaterThanOrEqual">
      <formula>2</formula>
    </cfRule>
  </conditionalFormatting>
  <conditionalFormatting sqref="Z18:AF18">
    <cfRule type="cellIs" dxfId="2" priority="1" stopIfTrue="1" operator="lessThan">
      <formula>0.1</formula>
    </cfRule>
    <cfRule type="cellIs" dxfId="1" priority="2" stopIfTrue="1" operator="between">
      <formula>0.1</formula>
      <formula>0.3</formula>
    </cfRule>
    <cfRule type="cellIs" dxfId="0" priority="3" stopIfTrue="1" operator="greaterThanOrEqual">
      <formula>0.3</formula>
    </cfRule>
  </conditionalFormatting>
  <printOptions horizontalCentered="1"/>
  <pageMargins left="0.74803149606299213" right="0.74803149606299213" top="0.64" bottom="0.72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SKU</vt:lpstr>
      <vt:lpstr>CB1</vt:lpstr>
      <vt:lpstr>CB4</vt:lpstr>
      <vt:lpstr>'CB4'!Print_Area</vt:lpstr>
      <vt:lpstr>'CB1'!ROE</vt:lpstr>
      <vt:lpstr>'CB4'!VAT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van Lieshout</dc:creator>
  <cp:lastModifiedBy>Olivier van Lieshout</cp:lastModifiedBy>
  <dcterms:created xsi:type="dcterms:W3CDTF">2014-03-17T17:09:02Z</dcterms:created>
  <dcterms:modified xsi:type="dcterms:W3CDTF">2014-03-27T14:07:31Z</dcterms:modified>
</cp:coreProperties>
</file>